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USER\Dropbox\Web Data Sharing\GlimMarket dropbox\Guides and templates\"/>
    </mc:Choice>
  </mc:AlternateContent>
  <xr:revisionPtr revIDLastSave="0" documentId="13_ncr:1_{A2AAC008-53D1-44EA-A8D4-1B5722DB6355}" xr6:coauthVersionLast="47" xr6:coauthVersionMax="47" xr10:uidLastSave="{00000000-0000-0000-0000-000000000000}"/>
  <bookViews>
    <workbookView xWindow="-110" yWindow="-110" windowWidth="19420" windowHeight="10300" xr2:uid="{00000000-000D-0000-FFFF-FFFF00000000}"/>
  </bookViews>
  <sheets>
    <sheet name=" Cover ©" sheetId="3" r:id="rId1"/>
    <sheet name="Budget Input" sheetId="1" r:id="rId2"/>
    <sheet name="Budget Summary" sheetId="4" r:id="rId3"/>
    <sheet name="Help" sheetId="5" r:id="rId4"/>
  </sheets>
  <externalReferences>
    <externalReference r:id="rId5"/>
  </externalReferences>
  <definedNames>
    <definedName name="un">[1]Intro!$D$22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26" i="4" l="1"/>
  <c r="D26" i="4"/>
  <c r="E26" i="4"/>
  <c r="F26" i="4"/>
  <c r="G26" i="4"/>
  <c r="H26" i="4"/>
  <c r="I26" i="4"/>
  <c r="J26" i="4"/>
  <c r="K26" i="4"/>
  <c r="L26" i="4"/>
  <c r="M26" i="4"/>
  <c r="N26" i="4"/>
  <c r="C26" i="4"/>
  <c r="E51" i="4"/>
  <c r="E50" i="4"/>
  <c r="E49" i="4"/>
  <c r="C50" i="4"/>
  <c r="C51" i="4"/>
  <c r="C49" i="4"/>
  <c r="S178" i="1"/>
  <c r="T178" i="1"/>
  <c r="R178" i="1"/>
  <c r="T176" i="1"/>
  <c r="S176" i="1"/>
  <c r="R176" i="1"/>
  <c r="T170" i="1"/>
  <c r="S170" i="1"/>
  <c r="R170" i="1"/>
  <c r="T162" i="1"/>
  <c r="S162" i="1"/>
  <c r="R162" i="1"/>
  <c r="T154" i="1"/>
  <c r="S154" i="1"/>
  <c r="R154" i="1"/>
  <c r="T144" i="1"/>
  <c r="S144" i="1"/>
  <c r="R144" i="1"/>
  <c r="T134" i="1"/>
  <c r="S134" i="1"/>
  <c r="R134" i="1"/>
  <c r="T111" i="1"/>
  <c r="T124" i="1"/>
  <c r="S124" i="1"/>
  <c r="R124" i="1"/>
  <c r="S111" i="1"/>
  <c r="R111" i="1"/>
  <c r="T99" i="1"/>
  <c r="S99" i="1"/>
  <c r="R99" i="1"/>
  <c r="T85" i="1"/>
  <c r="S85" i="1"/>
  <c r="T77" i="1"/>
  <c r="S77" i="1"/>
  <c r="R85" i="1"/>
  <c r="R77" i="1"/>
  <c r="T65" i="1"/>
  <c r="S65" i="1"/>
  <c r="R65" i="1"/>
  <c r="T54" i="1"/>
  <c r="S54" i="1"/>
  <c r="E52" i="4" l="1"/>
  <c r="F49" i="4" l="1"/>
  <c r="I49" i="4" s="1"/>
  <c r="F51" i="4"/>
  <c r="I51" i="4" s="1"/>
  <c r="F50" i="4"/>
  <c r="I50" i="4" s="1"/>
  <c r="O141" i="1" l="1"/>
  <c r="N141" i="1"/>
  <c r="N26" i="1" l="1"/>
  <c r="O26" i="1"/>
  <c r="D85" i="4"/>
  <c r="E85" i="4"/>
  <c r="F85" i="4"/>
  <c r="G85" i="4"/>
  <c r="H85" i="4"/>
  <c r="I85" i="4"/>
  <c r="J85" i="4"/>
  <c r="K85" i="4"/>
  <c r="L85" i="4"/>
  <c r="M85" i="4"/>
  <c r="N85" i="4"/>
  <c r="C85" i="4"/>
  <c r="D83" i="4"/>
  <c r="E83" i="4"/>
  <c r="F83" i="4"/>
  <c r="G83" i="4"/>
  <c r="H83" i="4"/>
  <c r="I83" i="4"/>
  <c r="J83" i="4"/>
  <c r="K83" i="4"/>
  <c r="L83" i="4"/>
  <c r="M83" i="4"/>
  <c r="N83" i="4"/>
  <c r="C83" i="4"/>
  <c r="C84" i="4" s="1"/>
  <c r="C86" i="4" s="1"/>
  <c r="D82" i="4" s="1"/>
  <c r="B21" i="4"/>
  <c r="B133" i="4" s="1"/>
  <c r="M162" i="1"/>
  <c r="N21" i="4" s="1"/>
  <c r="L162" i="1"/>
  <c r="M21" i="4" s="1"/>
  <c r="K162" i="1"/>
  <c r="L21" i="4" s="1"/>
  <c r="J162" i="1"/>
  <c r="K21" i="4" s="1"/>
  <c r="I162" i="1"/>
  <c r="J21" i="4" s="1"/>
  <c r="H162" i="1"/>
  <c r="I21" i="4" s="1"/>
  <c r="G162" i="1"/>
  <c r="H21" i="4" s="1"/>
  <c r="F162" i="1"/>
  <c r="G21" i="4" s="1"/>
  <c r="E162" i="1"/>
  <c r="F21" i="4" s="1"/>
  <c r="D162" i="1"/>
  <c r="E21" i="4" s="1"/>
  <c r="C162" i="1"/>
  <c r="D21" i="4" s="1"/>
  <c r="B162" i="1"/>
  <c r="C21" i="4" s="1"/>
  <c r="O161" i="1"/>
  <c r="N161" i="1"/>
  <c r="O160" i="1"/>
  <c r="N160" i="1"/>
  <c r="O159" i="1"/>
  <c r="N159" i="1"/>
  <c r="O158" i="1"/>
  <c r="N158" i="1"/>
  <c r="O157" i="1"/>
  <c r="N157" i="1"/>
  <c r="B23" i="4"/>
  <c r="B135" i="4" s="1"/>
  <c r="B22" i="4"/>
  <c r="B134" i="4" s="1"/>
  <c r="B20" i="4"/>
  <c r="B132" i="4" s="1"/>
  <c r="B19" i="4"/>
  <c r="B131" i="4" s="1"/>
  <c r="B18" i="4"/>
  <c r="B130" i="4" s="1"/>
  <c r="B17" i="4"/>
  <c r="B129" i="4" s="1"/>
  <c r="B16" i="4"/>
  <c r="B128" i="4" s="1"/>
  <c r="B15" i="4"/>
  <c r="B127" i="4" s="1"/>
  <c r="B14" i="4"/>
  <c r="B126" i="4" s="1"/>
  <c r="B13" i="4"/>
  <c r="B125" i="4" s="1"/>
  <c r="B12" i="4"/>
  <c r="B124" i="4" s="1"/>
  <c r="B11" i="4"/>
  <c r="B123" i="4" s="1"/>
  <c r="L7" i="4"/>
  <c r="L117" i="4" s="1"/>
  <c r="M7" i="4"/>
  <c r="M117" i="4" s="1"/>
  <c r="N7" i="4"/>
  <c r="N117" i="4" s="1"/>
  <c r="D7" i="4"/>
  <c r="D117" i="4" s="1"/>
  <c r="E7" i="4"/>
  <c r="E117" i="4" s="1"/>
  <c r="F7" i="4"/>
  <c r="F117" i="4" s="1"/>
  <c r="G7" i="4"/>
  <c r="G117" i="4" s="1"/>
  <c r="H7" i="4"/>
  <c r="H117" i="4" s="1"/>
  <c r="I7" i="4"/>
  <c r="I117" i="4" s="1"/>
  <c r="J7" i="4"/>
  <c r="J117" i="4" s="1"/>
  <c r="K7" i="4"/>
  <c r="K117" i="4" s="1"/>
  <c r="C7" i="4"/>
  <c r="C117" i="4" s="1"/>
  <c r="D84" i="4" l="1"/>
  <c r="D86" i="4" s="1"/>
  <c r="E82" i="4" s="1"/>
  <c r="E84" i="4" s="1"/>
  <c r="E86" i="4" s="1"/>
  <c r="F82" i="4" s="1"/>
  <c r="F84" i="4" s="1"/>
  <c r="F86" i="4" s="1"/>
  <c r="G82" i="4" s="1"/>
  <c r="G84" i="4" s="1"/>
  <c r="G86" i="4" s="1"/>
  <c r="H82" i="4" s="1"/>
  <c r="H84" i="4" s="1"/>
  <c r="H86" i="4" s="1"/>
  <c r="I82" i="4" s="1"/>
  <c r="I84" i="4" s="1"/>
  <c r="I86" i="4" s="1"/>
  <c r="J82" i="4" s="1"/>
  <c r="J84" i="4" s="1"/>
  <c r="J86" i="4" s="1"/>
  <c r="K82" i="4" s="1"/>
  <c r="K84" i="4" s="1"/>
  <c r="K86" i="4" s="1"/>
  <c r="L82" i="4" s="1"/>
  <c r="L84" i="4" s="1"/>
  <c r="L86" i="4" s="1"/>
  <c r="M82" i="4" s="1"/>
  <c r="M84" i="4" s="1"/>
  <c r="M86" i="4" s="1"/>
  <c r="N82" i="4" s="1"/>
  <c r="N84" i="4" s="1"/>
  <c r="N86" i="4" s="1"/>
  <c r="N162" i="1"/>
  <c r="K81" i="4"/>
  <c r="J81" i="4"/>
  <c r="O21" i="4"/>
  <c r="C133" i="4" s="1"/>
  <c r="C81" i="4"/>
  <c r="G81" i="4"/>
  <c r="N81" i="4"/>
  <c r="F81" i="4"/>
  <c r="M81" i="4"/>
  <c r="I81" i="4"/>
  <c r="E81" i="4"/>
  <c r="L81" i="4"/>
  <c r="H81" i="4"/>
  <c r="D81" i="4"/>
  <c r="P21" i="4"/>
  <c r="O162" i="1"/>
  <c r="M111" i="1"/>
  <c r="N16" i="4" s="1"/>
  <c r="L111" i="1"/>
  <c r="M16" i="4" s="1"/>
  <c r="K111" i="1"/>
  <c r="L16" i="4" s="1"/>
  <c r="J111" i="1"/>
  <c r="K16" i="4" s="1"/>
  <c r="I111" i="1"/>
  <c r="J16" i="4" s="1"/>
  <c r="H111" i="1"/>
  <c r="I16" i="4" s="1"/>
  <c r="G111" i="1"/>
  <c r="H16" i="4" s="1"/>
  <c r="F111" i="1"/>
  <c r="G16" i="4" s="1"/>
  <c r="E111" i="1"/>
  <c r="F16" i="4" s="1"/>
  <c r="D111" i="1"/>
  <c r="E16" i="4" s="1"/>
  <c r="C111" i="1"/>
  <c r="D16" i="4" s="1"/>
  <c r="B111" i="1"/>
  <c r="C16" i="4" s="1"/>
  <c r="O110" i="1"/>
  <c r="N110" i="1"/>
  <c r="O109" i="1"/>
  <c r="N109" i="1"/>
  <c r="O108" i="1"/>
  <c r="N108" i="1"/>
  <c r="O107" i="1"/>
  <c r="N107" i="1"/>
  <c r="O106" i="1"/>
  <c r="N106" i="1"/>
  <c r="O105" i="1"/>
  <c r="N105" i="1"/>
  <c r="O104" i="1"/>
  <c r="N104" i="1"/>
  <c r="O103" i="1"/>
  <c r="N103" i="1"/>
  <c r="O102" i="1"/>
  <c r="N102" i="1"/>
  <c r="N111" i="1" l="1"/>
  <c r="O16" i="4"/>
  <c r="C128" i="4" s="1"/>
  <c r="P16" i="4"/>
  <c r="O111" i="1"/>
  <c r="O173" i="1" l="1"/>
  <c r="O174" i="1"/>
  <c r="O175" i="1"/>
  <c r="O165" i="1"/>
  <c r="O166" i="1"/>
  <c r="O167" i="1"/>
  <c r="O168" i="1"/>
  <c r="O169" i="1"/>
  <c r="O147" i="1"/>
  <c r="O148" i="1"/>
  <c r="O149" i="1"/>
  <c r="O150" i="1"/>
  <c r="O151" i="1"/>
  <c r="O152" i="1"/>
  <c r="O153" i="1"/>
  <c r="O137" i="1"/>
  <c r="O138" i="1"/>
  <c r="O139" i="1"/>
  <c r="O140" i="1"/>
  <c r="O142" i="1"/>
  <c r="O143" i="1"/>
  <c r="O127" i="1"/>
  <c r="O128" i="1"/>
  <c r="O129" i="1"/>
  <c r="O130" i="1"/>
  <c r="O131" i="1"/>
  <c r="O132" i="1"/>
  <c r="O133" i="1"/>
  <c r="O115" i="1"/>
  <c r="O116" i="1"/>
  <c r="O117" i="1"/>
  <c r="O118" i="1"/>
  <c r="O119" i="1"/>
  <c r="O120" i="1"/>
  <c r="O121" i="1"/>
  <c r="O122" i="1"/>
  <c r="O123" i="1"/>
  <c r="O88" i="1"/>
  <c r="O89" i="1"/>
  <c r="O90" i="1"/>
  <c r="O91" i="1"/>
  <c r="O92" i="1"/>
  <c r="O93" i="1"/>
  <c r="O94" i="1"/>
  <c r="O95" i="1"/>
  <c r="O96" i="1"/>
  <c r="O97" i="1"/>
  <c r="O98" i="1"/>
  <c r="O80" i="1"/>
  <c r="O81" i="1"/>
  <c r="O82" i="1"/>
  <c r="O83" i="1"/>
  <c r="O84" i="1"/>
  <c r="O68" i="1"/>
  <c r="O69" i="1"/>
  <c r="O70" i="1"/>
  <c r="O71" i="1"/>
  <c r="O72" i="1"/>
  <c r="O73" i="1"/>
  <c r="O74" i="1"/>
  <c r="O75" i="1"/>
  <c r="O76" i="1"/>
  <c r="O57" i="1"/>
  <c r="O58" i="1"/>
  <c r="O59" i="1"/>
  <c r="O60" i="1"/>
  <c r="O61" i="1"/>
  <c r="O62" i="1"/>
  <c r="O63" i="1"/>
  <c r="O64" i="1"/>
  <c r="O15" i="1"/>
  <c r="O16" i="1"/>
  <c r="O17" i="1"/>
  <c r="O18" i="1"/>
  <c r="O19" i="1"/>
  <c r="O20" i="1"/>
  <c r="O21" i="1"/>
  <c r="O22" i="1"/>
  <c r="O23" i="1"/>
  <c r="O24" i="1"/>
  <c r="O25" i="1"/>
  <c r="O27" i="1"/>
  <c r="O28" i="1"/>
  <c r="O29" i="1"/>
  <c r="O30" i="1"/>
  <c r="O31" i="1"/>
  <c r="O32" i="1"/>
  <c r="O33" i="1"/>
  <c r="O34" i="1"/>
  <c r="O35" i="1"/>
  <c r="O36" i="1"/>
  <c r="O40" i="1"/>
  <c r="O41" i="1"/>
  <c r="O42" i="1"/>
  <c r="O43" i="1"/>
  <c r="O44" i="1"/>
  <c r="O45" i="1"/>
  <c r="O46" i="1"/>
  <c r="O47" i="1"/>
  <c r="O48" i="1"/>
  <c r="O49" i="1"/>
  <c r="O50" i="1"/>
  <c r="O51" i="1"/>
  <c r="O52" i="1"/>
  <c r="O53" i="1"/>
  <c r="M176" i="1"/>
  <c r="N23" i="4" s="1"/>
  <c r="L176" i="1"/>
  <c r="M23" i="4" s="1"/>
  <c r="K176" i="1"/>
  <c r="L23" i="4" s="1"/>
  <c r="J176" i="1"/>
  <c r="K23" i="4" s="1"/>
  <c r="I176" i="1"/>
  <c r="J23" i="4" s="1"/>
  <c r="H176" i="1"/>
  <c r="G176" i="1"/>
  <c r="H23" i="4" s="1"/>
  <c r="F176" i="1"/>
  <c r="E176" i="1"/>
  <c r="F23" i="4" s="1"/>
  <c r="D176" i="1"/>
  <c r="E23" i="4" s="1"/>
  <c r="C176" i="1"/>
  <c r="B176" i="1"/>
  <c r="N175" i="1"/>
  <c r="N174" i="1"/>
  <c r="N173" i="1"/>
  <c r="M170" i="1"/>
  <c r="N22" i="4" s="1"/>
  <c r="L170" i="1"/>
  <c r="M22" i="4" s="1"/>
  <c r="K170" i="1"/>
  <c r="L22" i="4" s="1"/>
  <c r="J170" i="1"/>
  <c r="K22" i="4" s="1"/>
  <c r="I170" i="1"/>
  <c r="J22" i="4" s="1"/>
  <c r="H170" i="1"/>
  <c r="I22" i="4" s="1"/>
  <c r="G170" i="1"/>
  <c r="H22" i="4" s="1"/>
  <c r="F170" i="1"/>
  <c r="G22" i="4" s="1"/>
  <c r="E170" i="1"/>
  <c r="F22" i="4" s="1"/>
  <c r="D170" i="1"/>
  <c r="C170" i="1"/>
  <c r="D22" i="4" s="1"/>
  <c r="B170" i="1"/>
  <c r="C22" i="4" s="1"/>
  <c r="N169" i="1"/>
  <c r="N168" i="1"/>
  <c r="N167" i="1"/>
  <c r="N166" i="1"/>
  <c r="N165" i="1"/>
  <c r="M154" i="1"/>
  <c r="N20" i="4" s="1"/>
  <c r="L154" i="1"/>
  <c r="M20" i="4" s="1"/>
  <c r="K154" i="1"/>
  <c r="L20" i="4" s="1"/>
  <c r="J154" i="1"/>
  <c r="K20" i="4" s="1"/>
  <c r="I154" i="1"/>
  <c r="J20" i="4" s="1"/>
  <c r="H154" i="1"/>
  <c r="I20" i="4" s="1"/>
  <c r="G154" i="1"/>
  <c r="F154" i="1"/>
  <c r="G20" i="4" s="1"/>
  <c r="E154" i="1"/>
  <c r="D154" i="1"/>
  <c r="E20" i="4" s="1"/>
  <c r="C154" i="1"/>
  <c r="D20" i="4" s="1"/>
  <c r="B154" i="1"/>
  <c r="C20" i="4" s="1"/>
  <c r="N153" i="1"/>
  <c r="N152" i="1"/>
  <c r="N151" i="1"/>
  <c r="N150" i="1"/>
  <c r="N149" i="1"/>
  <c r="N148" i="1"/>
  <c r="N147" i="1"/>
  <c r="M144" i="1"/>
  <c r="N19" i="4" s="1"/>
  <c r="L144" i="1"/>
  <c r="M19" i="4" s="1"/>
  <c r="K144" i="1"/>
  <c r="L19" i="4" s="1"/>
  <c r="J144" i="1"/>
  <c r="K19" i="4" s="1"/>
  <c r="I144" i="1"/>
  <c r="J19" i="4" s="1"/>
  <c r="H144" i="1"/>
  <c r="I19" i="4" s="1"/>
  <c r="G144" i="1"/>
  <c r="H19" i="4" s="1"/>
  <c r="F144" i="1"/>
  <c r="G19" i="4" s="1"/>
  <c r="E144" i="1"/>
  <c r="F19" i="4" s="1"/>
  <c r="D144" i="1"/>
  <c r="E19" i="4" s="1"/>
  <c r="C144" i="1"/>
  <c r="D19" i="4" s="1"/>
  <c r="B144" i="1"/>
  <c r="C19" i="4" s="1"/>
  <c r="N143" i="1"/>
  <c r="N142" i="1"/>
  <c r="N140" i="1"/>
  <c r="N139" i="1"/>
  <c r="N138" i="1"/>
  <c r="N137" i="1"/>
  <c r="M134" i="1"/>
  <c r="N18" i="4" s="1"/>
  <c r="L134" i="1"/>
  <c r="M18" i="4" s="1"/>
  <c r="K134" i="1"/>
  <c r="L18" i="4" s="1"/>
  <c r="J134" i="1"/>
  <c r="K18" i="4" s="1"/>
  <c r="I134" i="1"/>
  <c r="J18" i="4" s="1"/>
  <c r="H134" i="1"/>
  <c r="I18" i="4" s="1"/>
  <c r="G134" i="1"/>
  <c r="H18" i="4" s="1"/>
  <c r="F134" i="1"/>
  <c r="G18" i="4" s="1"/>
  <c r="E134" i="1"/>
  <c r="F18" i="4" s="1"/>
  <c r="D134" i="1"/>
  <c r="E18" i="4" s="1"/>
  <c r="C134" i="1"/>
  <c r="D18" i="4" s="1"/>
  <c r="B134" i="1"/>
  <c r="C18" i="4" s="1"/>
  <c r="N133" i="1"/>
  <c r="N132" i="1"/>
  <c r="N131" i="1"/>
  <c r="N130" i="1"/>
  <c r="N129" i="1"/>
  <c r="N128" i="1"/>
  <c r="N127" i="1"/>
  <c r="M124" i="1"/>
  <c r="N17" i="4" s="1"/>
  <c r="L124" i="1"/>
  <c r="M17" i="4" s="1"/>
  <c r="K124" i="1"/>
  <c r="L17" i="4" s="1"/>
  <c r="J124" i="1"/>
  <c r="K17" i="4" s="1"/>
  <c r="I124" i="1"/>
  <c r="J17" i="4" s="1"/>
  <c r="H124" i="1"/>
  <c r="I17" i="4" s="1"/>
  <c r="G124" i="1"/>
  <c r="H17" i="4" s="1"/>
  <c r="F124" i="1"/>
  <c r="G17" i="4" s="1"/>
  <c r="E124" i="1"/>
  <c r="F17" i="4" s="1"/>
  <c r="D124" i="1"/>
  <c r="E17" i="4" s="1"/>
  <c r="C124" i="1"/>
  <c r="D17" i="4" s="1"/>
  <c r="B124" i="1"/>
  <c r="C17" i="4" s="1"/>
  <c r="N123" i="1"/>
  <c r="N122" i="1"/>
  <c r="N121" i="1"/>
  <c r="N120" i="1"/>
  <c r="N119" i="1"/>
  <c r="N118" i="1"/>
  <c r="N117" i="1"/>
  <c r="N116" i="1"/>
  <c r="N115" i="1"/>
  <c r="N90" i="1"/>
  <c r="N91" i="1"/>
  <c r="N92" i="1"/>
  <c r="N93" i="1"/>
  <c r="M99" i="1"/>
  <c r="N15" i="4" s="1"/>
  <c r="L99" i="1"/>
  <c r="M15" i="4" s="1"/>
  <c r="K99" i="1"/>
  <c r="L15" i="4" s="1"/>
  <c r="J99" i="1"/>
  <c r="K15" i="4" s="1"/>
  <c r="I99" i="1"/>
  <c r="J15" i="4" s="1"/>
  <c r="H99" i="1"/>
  <c r="I15" i="4" s="1"/>
  <c r="G99" i="1"/>
  <c r="H15" i="4" s="1"/>
  <c r="F99" i="1"/>
  <c r="G15" i="4" s="1"/>
  <c r="E99" i="1"/>
  <c r="F15" i="4" s="1"/>
  <c r="D99" i="1"/>
  <c r="E15" i="4" s="1"/>
  <c r="C99" i="1"/>
  <c r="D15" i="4" s="1"/>
  <c r="B99" i="1"/>
  <c r="C15" i="4" s="1"/>
  <c r="N98" i="1"/>
  <c r="N97" i="1"/>
  <c r="N96" i="1"/>
  <c r="N95" i="1"/>
  <c r="N94" i="1"/>
  <c r="N89" i="1"/>
  <c r="N88" i="1"/>
  <c r="M85" i="1"/>
  <c r="N14" i="4" s="1"/>
  <c r="L85" i="1"/>
  <c r="M14" i="4" s="1"/>
  <c r="K85" i="1"/>
  <c r="L14" i="4" s="1"/>
  <c r="J85" i="1"/>
  <c r="K14" i="4" s="1"/>
  <c r="I85" i="1"/>
  <c r="J14" i="4" s="1"/>
  <c r="H85" i="1"/>
  <c r="I14" i="4" s="1"/>
  <c r="G85" i="1"/>
  <c r="H14" i="4" s="1"/>
  <c r="F85" i="1"/>
  <c r="G14" i="4" s="1"/>
  <c r="E85" i="1"/>
  <c r="F14" i="4" s="1"/>
  <c r="D85" i="1"/>
  <c r="E14" i="4" s="1"/>
  <c r="C85" i="1"/>
  <c r="D14" i="4" s="1"/>
  <c r="B85" i="1"/>
  <c r="C14" i="4" s="1"/>
  <c r="N84" i="1"/>
  <c r="N83" i="1"/>
  <c r="N82" i="1"/>
  <c r="N81" i="1"/>
  <c r="N80" i="1"/>
  <c r="N72" i="1"/>
  <c r="N73" i="1"/>
  <c r="N74" i="1"/>
  <c r="M77" i="1"/>
  <c r="N13" i="4" s="1"/>
  <c r="L77" i="1"/>
  <c r="M13" i="4" s="1"/>
  <c r="K77" i="1"/>
  <c r="L13" i="4" s="1"/>
  <c r="J77" i="1"/>
  <c r="K13" i="4" s="1"/>
  <c r="I77" i="1"/>
  <c r="J13" i="4" s="1"/>
  <c r="H77" i="1"/>
  <c r="I13" i="4" s="1"/>
  <c r="G77" i="1"/>
  <c r="H13" i="4" s="1"/>
  <c r="F77" i="1"/>
  <c r="G13" i="4" s="1"/>
  <c r="E77" i="1"/>
  <c r="F13" i="4" s="1"/>
  <c r="D77" i="1"/>
  <c r="E13" i="4" s="1"/>
  <c r="C77" i="1"/>
  <c r="D13" i="4" s="1"/>
  <c r="B77" i="1"/>
  <c r="C13" i="4" s="1"/>
  <c r="N76" i="1"/>
  <c r="N75" i="1"/>
  <c r="N71" i="1"/>
  <c r="N70" i="1"/>
  <c r="N69" i="1"/>
  <c r="N68" i="1"/>
  <c r="M65" i="1"/>
  <c r="N12" i="4" s="1"/>
  <c r="L65" i="1"/>
  <c r="M12" i="4" s="1"/>
  <c r="K65" i="1"/>
  <c r="L12" i="4" s="1"/>
  <c r="J65" i="1"/>
  <c r="K12" i="4" s="1"/>
  <c r="I65" i="1"/>
  <c r="J12" i="4" s="1"/>
  <c r="H65" i="1"/>
  <c r="I12" i="4" s="1"/>
  <c r="G65" i="1"/>
  <c r="H12" i="4" s="1"/>
  <c r="F65" i="1"/>
  <c r="G12" i="4" s="1"/>
  <c r="E65" i="1"/>
  <c r="F12" i="4" s="1"/>
  <c r="D65" i="1"/>
  <c r="E12" i="4" s="1"/>
  <c r="C65" i="1"/>
  <c r="D12" i="4" s="1"/>
  <c r="B65" i="1"/>
  <c r="C12" i="4" s="1"/>
  <c r="N64" i="1"/>
  <c r="N63" i="1"/>
  <c r="N62" i="1"/>
  <c r="N61" i="1"/>
  <c r="N60" i="1"/>
  <c r="N59" i="1"/>
  <c r="N58" i="1"/>
  <c r="N57" i="1"/>
  <c r="B54" i="1"/>
  <c r="M54" i="1"/>
  <c r="L54" i="1"/>
  <c r="K54" i="1"/>
  <c r="J54" i="1"/>
  <c r="I54" i="1"/>
  <c r="H54" i="1"/>
  <c r="G54" i="1"/>
  <c r="F54" i="1"/>
  <c r="E54" i="1"/>
  <c r="D54" i="1"/>
  <c r="C54" i="1"/>
  <c r="N53" i="1"/>
  <c r="N52" i="1"/>
  <c r="N51" i="1"/>
  <c r="N50" i="1"/>
  <c r="N49" i="1"/>
  <c r="N48" i="1"/>
  <c r="N47" i="1"/>
  <c r="N46" i="1"/>
  <c r="N45" i="1"/>
  <c r="N44" i="1"/>
  <c r="R54" i="1" s="1"/>
  <c r="N43" i="1"/>
  <c r="N42" i="1"/>
  <c r="N41" i="1"/>
  <c r="N40" i="1"/>
  <c r="N34" i="1"/>
  <c r="N35" i="1"/>
  <c r="N28" i="1"/>
  <c r="N29" i="1"/>
  <c r="N30" i="1"/>
  <c r="N31" i="1"/>
  <c r="N32" i="1"/>
  <c r="N33" i="1"/>
  <c r="N21" i="1"/>
  <c r="N22" i="1"/>
  <c r="N23" i="1"/>
  <c r="N24" i="1"/>
  <c r="N25" i="1"/>
  <c r="N27" i="1"/>
  <c r="J8" i="1" l="1"/>
  <c r="G11" i="4"/>
  <c r="F8" i="1"/>
  <c r="C11" i="4"/>
  <c r="B8" i="1"/>
  <c r="D11" i="4"/>
  <c r="C8" i="1"/>
  <c r="H11" i="4"/>
  <c r="G8" i="1"/>
  <c r="K8" i="1"/>
  <c r="E11" i="4"/>
  <c r="D8" i="1"/>
  <c r="I11" i="4"/>
  <c r="H8" i="1"/>
  <c r="L8" i="1"/>
  <c r="F11" i="4"/>
  <c r="E8" i="1"/>
  <c r="I8" i="1"/>
  <c r="M8" i="1"/>
  <c r="L11" i="4"/>
  <c r="L24" i="4" s="1"/>
  <c r="L119" i="4" s="1"/>
  <c r="K11" i="4"/>
  <c r="K24" i="4" s="1"/>
  <c r="K119" i="4" s="1"/>
  <c r="M11" i="4"/>
  <c r="M24" i="4" s="1"/>
  <c r="M119" i="4" s="1"/>
  <c r="J11" i="4"/>
  <c r="J24" i="4" s="1"/>
  <c r="J119" i="4" s="1"/>
  <c r="N11" i="4"/>
  <c r="N24" i="4" s="1"/>
  <c r="N119" i="4" s="1"/>
  <c r="O14" i="4"/>
  <c r="C126" i="4" s="1"/>
  <c r="P14" i="4"/>
  <c r="O19" i="4"/>
  <c r="C131" i="4" s="1"/>
  <c r="P19" i="4"/>
  <c r="O12" i="4"/>
  <c r="C124" i="4" s="1"/>
  <c r="P12" i="4"/>
  <c r="O15" i="4"/>
  <c r="C127" i="4" s="1"/>
  <c r="P15" i="4"/>
  <c r="O18" i="4"/>
  <c r="C130" i="4" s="1"/>
  <c r="P18" i="4"/>
  <c r="O13" i="4"/>
  <c r="C125" i="4" s="1"/>
  <c r="P13" i="4"/>
  <c r="O17" i="4"/>
  <c r="C129" i="4" s="1"/>
  <c r="P17" i="4"/>
  <c r="H20" i="4"/>
  <c r="F20" i="4"/>
  <c r="F24" i="4" s="1"/>
  <c r="F119" i="4" s="1"/>
  <c r="E22" i="4"/>
  <c r="I23" i="4"/>
  <c r="G23" i="4"/>
  <c r="D23" i="4"/>
  <c r="C23" i="4"/>
  <c r="O170" i="1"/>
  <c r="O176" i="1"/>
  <c r="O65" i="1"/>
  <c r="O77" i="1"/>
  <c r="O134" i="1"/>
  <c r="O37" i="1"/>
  <c r="O99" i="1"/>
  <c r="O124" i="1"/>
  <c r="O85" i="1"/>
  <c r="O154" i="1"/>
  <c r="O144" i="1"/>
  <c r="O54" i="1"/>
  <c r="N144" i="1"/>
  <c r="N154" i="1"/>
  <c r="N170" i="1"/>
  <c r="N134" i="1"/>
  <c r="N176" i="1"/>
  <c r="N124" i="1"/>
  <c r="N99" i="1"/>
  <c r="N85" i="1"/>
  <c r="N77" i="1"/>
  <c r="N65" i="1"/>
  <c r="N54" i="1"/>
  <c r="M37" i="1"/>
  <c r="L37" i="1"/>
  <c r="K37" i="1"/>
  <c r="J37" i="1"/>
  <c r="I37" i="1"/>
  <c r="H37" i="1"/>
  <c r="G37" i="1"/>
  <c r="F37" i="1"/>
  <c r="E37" i="1"/>
  <c r="D37" i="1"/>
  <c r="C37" i="1"/>
  <c r="B37" i="1"/>
  <c r="N36" i="1"/>
  <c r="N20" i="1"/>
  <c r="N19" i="1"/>
  <c r="N18" i="1"/>
  <c r="N17" i="1"/>
  <c r="N16" i="1"/>
  <c r="N15" i="1"/>
  <c r="G24" i="4" l="1"/>
  <c r="G119" i="4" s="1"/>
  <c r="C24" i="4"/>
  <c r="C119" i="4" s="1"/>
  <c r="E24" i="4"/>
  <c r="E119" i="4" s="1"/>
  <c r="D24" i="4"/>
  <c r="D119" i="4" s="1"/>
  <c r="H24" i="4"/>
  <c r="H119" i="4" s="1"/>
  <c r="I24" i="4"/>
  <c r="I119" i="4" s="1"/>
  <c r="P11" i="4"/>
  <c r="L7" i="1"/>
  <c r="M9" i="4"/>
  <c r="M118" i="4" s="1"/>
  <c r="M120" i="4" s="1"/>
  <c r="E7" i="1"/>
  <c r="F9" i="4"/>
  <c r="F118" i="4" s="1"/>
  <c r="F120" i="4" s="1"/>
  <c r="I7" i="1"/>
  <c r="J9" i="4"/>
  <c r="J118" i="4" s="1"/>
  <c r="J120" i="4" s="1"/>
  <c r="M7" i="1"/>
  <c r="N9" i="4"/>
  <c r="N118" i="4" s="1"/>
  <c r="N120" i="4" s="1"/>
  <c r="O11" i="4"/>
  <c r="C123" i="4" s="1"/>
  <c r="F7" i="1"/>
  <c r="G9" i="4"/>
  <c r="G118" i="4" s="1"/>
  <c r="G7" i="1"/>
  <c r="H9" i="4"/>
  <c r="H118" i="4" s="1"/>
  <c r="K7" i="1"/>
  <c r="L9" i="4"/>
  <c r="L118" i="4" s="1"/>
  <c r="L120" i="4" s="1"/>
  <c r="J7" i="1"/>
  <c r="K9" i="4"/>
  <c r="K118" i="4" s="1"/>
  <c r="K120" i="4" s="1"/>
  <c r="H7" i="1"/>
  <c r="I9" i="4"/>
  <c r="I118" i="4" s="1"/>
  <c r="P22" i="4"/>
  <c r="O22" i="4"/>
  <c r="C134" i="4" s="1"/>
  <c r="O20" i="4"/>
  <c r="C132" i="4" s="1"/>
  <c r="O23" i="4"/>
  <c r="C135" i="4" s="1"/>
  <c r="P23" i="4"/>
  <c r="P20" i="4"/>
  <c r="D7" i="1"/>
  <c r="E9" i="4"/>
  <c r="E118" i="4" s="1"/>
  <c r="C7" i="1"/>
  <c r="D9" i="4"/>
  <c r="D118" i="4" s="1"/>
  <c r="D120" i="4" s="1"/>
  <c r="B7" i="1"/>
  <c r="C9" i="4"/>
  <c r="O8" i="1"/>
  <c r="N8" i="1"/>
  <c r="N37" i="1"/>
  <c r="G120" i="4" l="1"/>
  <c r="E120" i="4"/>
  <c r="P24" i="4"/>
  <c r="I120" i="4"/>
  <c r="H120" i="4"/>
  <c r="O24" i="4"/>
  <c r="Q55" i="4" s="1"/>
  <c r="O7" i="1"/>
  <c r="P9" i="4"/>
  <c r="C118" i="4"/>
  <c r="C120" i="4" s="1"/>
  <c r="O9" i="4"/>
  <c r="N7" i="1"/>
  <c r="C9" i="1"/>
  <c r="D9" i="1"/>
  <c r="E9" i="1"/>
  <c r="F9" i="1"/>
  <c r="G9" i="1"/>
  <c r="H9" i="1"/>
  <c r="I9" i="1"/>
  <c r="J9" i="1"/>
  <c r="K9" i="1"/>
  <c r="L9" i="1"/>
  <c r="M9" i="1"/>
  <c r="B9" i="1"/>
  <c r="B10" i="1" l="1"/>
  <c r="C6" i="1" s="1"/>
  <c r="C10" i="1" s="1"/>
  <c r="D6" i="1" s="1"/>
  <c r="D10" i="1" s="1"/>
  <c r="E6" i="1" s="1"/>
  <c r="E10" i="1" s="1"/>
  <c r="F6" i="1" s="1"/>
  <c r="F10" i="1" s="1"/>
  <c r="G6" i="1" s="1"/>
  <c r="G10" i="1" s="1"/>
  <c r="H6" i="1" s="1"/>
  <c r="H10" i="1" s="1"/>
  <c r="I6" i="1" s="1"/>
  <c r="I10" i="1" s="1"/>
  <c r="J6" i="1" s="1"/>
  <c r="J10" i="1" s="1"/>
  <c r="K6" i="1" s="1"/>
  <c r="K10" i="1" s="1"/>
  <c r="L6" i="1" s="1"/>
  <c r="L10" i="1" s="1"/>
  <c r="M6" i="1" s="1"/>
  <c r="M10" i="1" s="1"/>
  <c r="N9" i="1"/>
  <c r="O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Dexovise Analytics</author>
  </authors>
  <commentList>
    <comment ref="A6" authorId="0" shapeId="0" xr:uid="{32115482-0326-48BE-B4D5-481F8B8176C1}">
      <text>
        <r>
          <rPr>
            <sz val="9"/>
            <color indexed="81"/>
            <rFont val="Tahoma"/>
            <family val="2"/>
          </rPr>
          <t>If you start after January, you can still enter the Beginning Balance under January.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Dexovise Analytics</author>
  </authors>
  <commentList>
    <comment ref="C82" authorId="0" shapeId="0" xr:uid="{E80F3157-7B3F-4A0A-98E0-3DBE91010463}">
      <text>
        <r>
          <rPr>
            <sz val="9"/>
            <color indexed="81"/>
            <rFont val="Tahoma"/>
            <family val="2"/>
          </rPr>
          <t>Enter your Emergency fund beginning balance here</t>
        </r>
      </text>
    </comment>
  </commentList>
</comments>
</file>

<file path=xl/sharedStrings.xml><?xml version="1.0" encoding="utf-8"?>
<sst xmlns="http://schemas.openxmlformats.org/spreadsheetml/2006/main" count="574" uniqueCount="250">
  <si>
    <t>Important Links</t>
  </si>
  <si>
    <t>Total Exp &amp; Payments</t>
  </si>
  <si>
    <t>Surplus (Deficit)</t>
  </si>
  <si>
    <t>Total Budgeted Income</t>
  </si>
  <si>
    <t>Budgeted Ending Balance</t>
  </si>
  <si>
    <t>JAN</t>
  </si>
  <si>
    <t>FEB</t>
  </si>
  <si>
    <t>MAR</t>
  </si>
  <si>
    <t>APR</t>
  </si>
  <si>
    <t>MAY</t>
  </si>
  <si>
    <t>JUN</t>
  </si>
  <si>
    <t>JUL</t>
  </si>
  <si>
    <t>AUG</t>
  </si>
  <si>
    <t>SEP</t>
  </si>
  <si>
    <t>OCT</t>
  </si>
  <si>
    <t>NOV</t>
  </si>
  <si>
    <t>DEC</t>
  </si>
  <si>
    <t>Beginning Balance- Cash</t>
  </si>
  <si>
    <t>Total</t>
  </si>
  <si>
    <t>Interest Income</t>
  </si>
  <si>
    <t>Transfer From Savings</t>
  </si>
  <si>
    <t>Other</t>
  </si>
  <si>
    <t>Wages &amp; Salaries</t>
  </si>
  <si>
    <t>Self-Employment / Business Income</t>
  </si>
  <si>
    <t>Bonuses &amp; Commissions</t>
  </si>
  <si>
    <t>Dividend Income</t>
  </si>
  <si>
    <t>Capital Gains / Sale of Investments</t>
  </si>
  <si>
    <t>Retirement Account Withdrawals</t>
  </si>
  <si>
    <t>CD / Time Deposit Withdrawals</t>
  </si>
  <si>
    <t>Emergency Fund Withdrawal</t>
  </si>
  <si>
    <t>Sale of Property / Assets</t>
  </si>
  <si>
    <t>Rental Income</t>
  </si>
  <si>
    <t>Social Security Benefits</t>
  </si>
  <si>
    <t>Pension / Annuity Income</t>
  </si>
  <si>
    <t>Unemployment Benefits</t>
  </si>
  <si>
    <t>Government Benefits / Assistance</t>
  </si>
  <si>
    <t>Alimony / Child Support</t>
  </si>
  <si>
    <t>Gifts</t>
  </si>
  <si>
    <t>Refunds / Reimbursements</t>
  </si>
  <si>
    <t>Transfers From Savings</t>
  </si>
  <si>
    <t xml:space="preserve"> TOTAL INCOME </t>
  </si>
  <si>
    <t>HOME EXPENSES</t>
  </si>
  <si>
    <t>Mortgage / Rent</t>
  </si>
  <si>
    <t>Homeowner's / Renter's Insurance</t>
  </si>
  <si>
    <t>Electricity</t>
  </si>
  <si>
    <t>Gas / Heating Oil</t>
  </si>
  <si>
    <t>Water / Sewer / Trash</t>
  </si>
  <si>
    <t>Phone (Mobile / Landline)</t>
  </si>
  <si>
    <t>Cable / Streaming TV</t>
  </si>
  <si>
    <t>Internet</t>
  </si>
  <si>
    <t>Furnishings &amp; Appliances</t>
  </si>
  <si>
    <t>Lawn &amp; Garden</t>
  </si>
  <si>
    <t>Home Maintenance / Repairs</t>
  </si>
  <si>
    <t>Home Improvements / Renovations</t>
  </si>
  <si>
    <t>HOA / Condo Fees</t>
  </si>
  <si>
    <t>TRANSPORTATION</t>
  </si>
  <si>
    <t>Auto Insurance</t>
  </si>
  <si>
    <t>Fuel / Gasoline</t>
  </si>
  <si>
    <t>Public Transit / Bus / Train / Rideshare</t>
  </si>
  <si>
    <t>Repairs &amp; Maintenance</t>
  </si>
  <si>
    <t>Vehicle Registration &amp; Inspections</t>
  </si>
  <si>
    <t>Parking &amp; Tolls</t>
  </si>
  <si>
    <t>Car Rental / Car Share</t>
  </si>
  <si>
    <t>Other Transportation</t>
  </si>
  <si>
    <t>HEALTH</t>
  </si>
  <si>
    <t>Health Insurance (premiums)</t>
  </si>
  <si>
    <t>Medical &amp; Dental Visits</t>
  </si>
  <si>
    <t>Prescriptions / Medications</t>
  </si>
  <si>
    <t>Vision Care (glasses/contacts)</t>
  </si>
  <si>
    <t>Mental Health / Therapy</t>
  </si>
  <si>
    <t>Health Club / Gym Membership</t>
  </si>
  <si>
    <t>Life / Disability Insurance</t>
  </si>
  <si>
    <t>Pet Care / Veterinary</t>
  </si>
  <si>
    <t>Other Health Expenses</t>
  </si>
  <si>
    <t>CHARITY / GIFTS</t>
  </si>
  <si>
    <t>Gifts Given</t>
  </si>
  <si>
    <t>Charitable Donations</t>
  </si>
  <si>
    <t>Religious Donations / Tithes</t>
  </si>
  <si>
    <t>Holiday / Special Occasion Gifts</t>
  </si>
  <si>
    <t>Other Giving</t>
  </si>
  <si>
    <t>DAILY LIVING</t>
  </si>
  <si>
    <t>Groceries</t>
  </si>
  <si>
    <t>Household Supplies (cleaning, toiletries)</t>
  </si>
  <si>
    <t>Dining Out / Takeout</t>
  </si>
  <si>
    <t>Clothing &amp; Shoes</t>
  </si>
  <si>
    <t>Personal Care (Salon / Barber)</t>
  </si>
  <si>
    <t>Cleaning Services / Laundry / Drycleaning</t>
  </si>
  <si>
    <t>Childcare / Babysitting / Daycare</t>
  </si>
  <si>
    <t>Education / Lessons / Tuition</t>
  </si>
  <si>
    <t>Pet Food &amp; Supplies</t>
  </si>
  <si>
    <t>School Supplies</t>
  </si>
  <si>
    <t>Other Daily Living</t>
  </si>
  <si>
    <t>ENTERTAINMENT</t>
  </si>
  <si>
    <t>Activities &amp; Events</t>
  </si>
  <si>
    <t>Books / Media (purchased)</t>
  </si>
  <si>
    <t>Games &amp; Hobbies</t>
  </si>
  <si>
    <t>Music / Concerts / Live Events</t>
  </si>
  <si>
    <t>Outdoor Recreation &amp; Sports</t>
  </si>
  <si>
    <t>Hobbies &amp; Supplies</t>
  </si>
  <si>
    <t>Toys &amp; Gadgets</t>
  </si>
  <si>
    <t>Vacation / Travel</t>
  </si>
  <si>
    <t>Other Entertainment</t>
  </si>
  <si>
    <t>SAVINGS</t>
  </si>
  <si>
    <t>Emergency Fund</t>
  </si>
  <si>
    <t>Retirement Contributions (401k/IRA)</t>
  </si>
  <si>
    <t>Education Savings (529 plan)</t>
  </si>
  <si>
    <t>Investments / Brokerage Contributions</t>
  </si>
  <si>
    <t>Car Replacement Fund</t>
  </si>
  <si>
    <t>Short-term Savings Goals</t>
  </si>
  <si>
    <t>Other Savings</t>
  </si>
  <si>
    <t>DEBT REPAYMENTS</t>
  </si>
  <si>
    <t>Vehicle Loan / Lease Payments</t>
  </si>
  <si>
    <t>Student Loan Payments</t>
  </si>
  <si>
    <t>Credit Card Payments</t>
  </si>
  <si>
    <t>Personal Loan Payments</t>
  </si>
  <si>
    <t>Home Equity Loan / HELOC Payments</t>
  </si>
  <si>
    <t>Other Loan Payments</t>
  </si>
  <si>
    <t>OBLIGATIONS</t>
  </si>
  <si>
    <t>Federal Income Taxes</t>
  </si>
  <si>
    <t>State Income Taxes</t>
  </si>
  <si>
    <t>Local / City / County Taxes</t>
  </si>
  <si>
    <t>Property Taxes (if paid separately)</t>
  </si>
  <si>
    <t>Court-Ordered Payments / Fines</t>
  </si>
  <si>
    <t>Other Obligations</t>
  </si>
  <si>
    <t>SUBSCRIPTIONS</t>
  </si>
  <si>
    <t>Streaming Services</t>
  </si>
  <si>
    <t>Music / Audio Subscriptions</t>
  </si>
  <si>
    <t>News / Magazines</t>
  </si>
  <si>
    <t>Software / App Subscriptions</t>
  </si>
  <si>
    <t>Dues / Memberships / Professional Fees</t>
  </si>
  <si>
    <t>MISCELLANEOUS</t>
  </si>
  <si>
    <t>Bank Fees &amp; Service Charges</t>
  </si>
  <si>
    <t>Postage / Shipping</t>
  </si>
  <si>
    <t>Miscellaneous / Other</t>
  </si>
  <si>
    <t>INCOME (INFLOW)</t>
  </si>
  <si>
    <t>Monthly Avg</t>
  </si>
  <si>
    <t xml:space="preserve">    TOTAL HOME EXPENSES </t>
  </si>
  <si>
    <t xml:space="preserve">  TOTAL TRANSPORTATION </t>
  </si>
  <si>
    <t xml:space="preserve">  TOTAL HEALTH </t>
  </si>
  <si>
    <t xml:space="preserve">  TOTAL CHARITY </t>
  </si>
  <si>
    <t xml:space="preserve">  TOTAL DAILY LIVING </t>
  </si>
  <si>
    <t xml:space="preserve">  TOTAL ENTERTAINMENT </t>
  </si>
  <si>
    <t xml:space="preserve">  TOTAL SAVINGS </t>
  </si>
  <si>
    <t xml:space="preserve">  TOTAL DEBT REPAYMENTS </t>
  </si>
  <si>
    <t xml:space="preserve">  TOTAL OBLIGATIONS </t>
  </si>
  <si>
    <t xml:space="preserve">  TOTAL SUBSCRIPTIONS </t>
  </si>
  <si>
    <t xml:space="preserve">  TOTAL MISCELLANEOUS </t>
  </si>
  <si>
    <t>Mnthly Avg</t>
  </si>
  <si>
    <t>https://glimmarket.com</t>
  </si>
  <si>
    <t>© 2025 GlimMarket. All rights reserved,</t>
  </si>
  <si>
    <t>Mortgage Payments</t>
  </si>
  <si>
    <t>CHILDREN EXPENSES</t>
  </si>
  <si>
    <t>Medical Exp</t>
  </si>
  <si>
    <t>Games &amp; Toys</t>
  </si>
  <si>
    <t>Clothing</t>
  </si>
  <si>
    <t>Books and publications</t>
  </si>
  <si>
    <t>Babysitting</t>
  </si>
  <si>
    <t>School Fees/ Donations</t>
  </si>
  <si>
    <t>Training/ Competitions</t>
  </si>
  <si>
    <t>Other Children Expenses</t>
  </si>
  <si>
    <t xml:space="preserve">   TOTAL CHILDREN EXP </t>
  </si>
  <si>
    <t>Disclaimer:
This tool is provided for general informational purposes only and is not intended to provide financial, legal, or investment advice. The results are based on user-inputted data and do not account for all financial nuances or regulatory requirements. GlimMarket makes no warranties or guarantees as to the accuracy or completeness of the results. Users should consult with a qualified professional before making financial decisions. Use of this tool is at your own risk.</t>
  </si>
  <si>
    <t>This spreadsheet, including all worksheets and associated content is a copyrighted work under the United States and other copyright laws. Do not submit copies or modifications of this template to any website or online template gallery.</t>
  </si>
  <si>
    <t>Budget Summary</t>
  </si>
  <si>
    <t>Budget Sheet</t>
  </si>
  <si>
    <t>Manage your annual personal budget with ease</t>
  </si>
  <si>
    <t>Total Revenue</t>
  </si>
  <si>
    <t>Item</t>
  </si>
  <si>
    <t>Chart Data</t>
  </si>
  <si>
    <t>Total Income</t>
  </si>
  <si>
    <t>Total Expenses</t>
  </si>
  <si>
    <t>Emergency Funds Budget</t>
  </si>
  <si>
    <t>Beginning Balance</t>
  </si>
  <si>
    <t>(+) Additions</t>
  </si>
  <si>
    <t>(-) Deductions</t>
  </si>
  <si>
    <t>Ending Balance</t>
  </si>
  <si>
    <t>PROPERTY/ ASSETS</t>
  </si>
  <si>
    <t>Property Purchase</t>
  </si>
  <si>
    <t>Down Payments</t>
  </si>
  <si>
    <t>Vehicle Purchase</t>
  </si>
  <si>
    <t>Recreational Assets</t>
  </si>
  <si>
    <t>Other Assets/ investments</t>
  </si>
  <si>
    <t>Enter your beginning balance of Total Emergency Funds below to get the budgeted ending balance at the end of the year.</t>
  </si>
  <si>
    <t>Additional Debts (inclding Mortgages)</t>
  </si>
  <si>
    <t>Do not edit the cells highlighted and those with a formula or link</t>
  </si>
  <si>
    <t xml:space="preserve">   Enter your budget figures in the below fields</t>
  </si>
  <si>
    <t>Based on the figures you entered in the 'Budget' sheet</t>
  </si>
  <si>
    <t>by GlimMarket.com</t>
  </si>
  <si>
    <t>Read More            Personal Budget Template</t>
  </si>
  <si>
    <t>Category</t>
  </si>
  <si>
    <t>Column1</t>
  </si>
  <si>
    <t>Needs</t>
  </si>
  <si>
    <t>Wants</t>
  </si>
  <si>
    <t>Savings</t>
  </si>
  <si>
    <t>Budget based on 50/30/20 Rule Analysis (Annual Summary)</t>
  </si>
  <si>
    <t>50/30/20 Rule</t>
  </si>
  <si>
    <t>50/30/20 Rule Annual Total</t>
  </si>
  <si>
    <t>Total ($)</t>
  </si>
  <si>
    <t>%</t>
  </si>
  <si>
    <t>Total Budget</t>
  </si>
  <si>
    <t>Deviation</t>
  </si>
  <si>
    <t>`</t>
  </si>
  <si>
    <t>Help</t>
  </si>
  <si>
    <t>How to use this Monthly Budget Template</t>
  </si>
  <si>
    <t>This template is designed to give you a clear, month-by-month picture of your cash flow, savings and emergency fund position, and to help you judge your plan against the 50/30/20 guideline. Read this page once before you start, then refer back whenever you need a reminder.</t>
  </si>
  <si>
    <t>1. Overview — what each sheet does</t>
  </si>
  <si>
    <t>2. Before you start — a few important rules</t>
  </si>
  <si>
    <t>3. Save a copy of the workbook before making any large structural changes. Keep a backup copy labelled with the date so you can recover if something is edited by mistake.</t>
  </si>
  <si>
    <t>3. Step-by-step: entering your data</t>
  </si>
  <si>
    <t>3. For each month, enter your expected or actual amounts under the correct headings:</t>
  </si>
  <si>
    <t>Income rows — enter all salary, freelance receipts, interest or other income categories.</t>
  </si>
  <si>
    <t>Expense rows — enter amounts against the relevant expense heads (housing, groceries, transport, etc.).</t>
  </si>
  <si>
    <t>4. The sheet will automatically compute totals, the monthly surplus/deficit, and the budgeted ending balance for each month. You do not need to write formulas — they are built in.</t>
  </si>
  <si>
    <t>4. What the Budget Summary shows</t>
  </si>
  <si>
    <t>5. Emergency Funds table</t>
  </si>
  <si>
    <t>Use this table to plan regular contributions or to simulate emergency withdrawals and see how they affect the balance over the year.</t>
  </si>
  <si>
    <t>6. If you start from any other month</t>
  </si>
  <si>
    <t>7. Reading the key outputs</t>
  </si>
  <si>
    <t>8. Best practices and tips</t>
  </si>
  <si>
    <t>Keep input fields continuous and avoid inserting blank rows within the input block — this prevents accidental breaks in formulas.</t>
  </si>
  <si>
    <t>Update actuals monthly and compare against budgeted amounts to keep the plan realistic.</t>
  </si>
  <si>
    <t>Use the 50/30/20 comparison to set targets: if one category (Needs, Wants or Savings) is far off the guideline, make specific adjustments to expense heads.</t>
  </si>
  <si>
    <t>Use the charts to spot trends quickly — sudden spikes in any expense head often point to one-off events you should note and plan for next year.</t>
  </si>
  <si>
    <t>Back up the file before making large changes. If you plan structural edits (adding new categories or changing layout), make a copy and test there first.</t>
  </si>
  <si>
    <t>9. Troubleshooting</t>
  </si>
  <si>
    <t>10. Final notes</t>
  </si>
  <si>
    <r>
      <t>Cover ©</t>
    </r>
    <r>
      <rPr>
        <sz val="11"/>
        <color theme="1"/>
        <rFont val="Arial"/>
        <family val="2"/>
      </rPr>
      <t xml:space="preserve"> — Introductory notes and this Help section. Use it as your quick reference.</t>
    </r>
  </si>
  <si>
    <r>
      <t>Budget Input</t>
    </r>
    <r>
      <rPr>
        <sz val="11"/>
        <color theme="1"/>
        <rFont val="Arial"/>
        <family val="2"/>
      </rPr>
      <t xml:space="preserve"> — The only sheet where you should type amounts. Enter your monthly incomes, expense items and the starting cash balance here. All input cells are clearly marked; everything else is formula-driven.</t>
    </r>
  </si>
  <si>
    <r>
      <t>Budget Summary</t>
    </r>
    <r>
      <rPr>
        <sz val="11"/>
        <color theme="1"/>
        <rFont val="Arial"/>
        <family val="2"/>
      </rPr>
      <t xml:space="preserve"> — Snapshot of results. Shows income, expense head-wise totals and the budget surplus/deficit both month-by-month and for the year. Contains two charts: one that tracks monthly income vs expenses vs deficit, and another that compares annual totals by expense head. It also includes a 50/30/20 comparison and the </t>
    </r>
    <r>
      <rPr>
        <b/>
        <sz val="11"/>
        <color theme="1"/>
        <rFont val="Arial"/>
        <family val="2"/>
      </rPr>
      <t>Emergency Funds</t>
    </r>
    <r>
      <rPr>
        <sz val="11"/>
        <color theme="1"/>
        <rFont val="Arial"/>
        <family val="2"/>
      </rPr>
      <t xml:space="preserve"> table.</t>
    </r>
  </si>
  <si>
    <r>
      <t xml:space="preserve">1. Only enter values on the </t>
    </r>
    <r>
      <rPr>
        <b/>
        <i/>
        <sz val="11"/>
        <color theme="1"/>
        <rFont val="Arial"/>
        <family val="2"/>
      </rPr>
      <t>Budget Input</t>
    </r>
    <r>
      <rPr>
        <b/>
        <sz val="11"/>
        <color theme="1"/>
        <rFont val="Arial"/>
        <family val="2"/>
      </rPr>
      <t xml:space="preserve"> sheet</t>
    </r>
    <r>
      <rPr>
        <sz val="11"/>
        <color theme="1"/>
        <rFont val="Arial"/>
        <family val="2"/>
      </rPr>
      <t xml:space="preserve"> in the cells that are intended for input. Cells with formulas are protected by the layout; changing them will break calculations.</t>
    </r>
  </si>
  <si>
    <r>
      <t xml:space="preserve">2. On the </t>
    </r>
    <r>
      <rPr>
        <b/>
        <sz val="11"/>
        <color theme="1"/>
        <rFont val="Arial"/>
        <family val="2"/>
      </rPr>
      <t>Budget Summary</t>
    </r>
    <r>
      <rPr>
        <sz val="11"/>
        <color theme="1"/>
        <rFont val="Arial"/>
        <family val="2"/>
      </rPr>
      <t xml:space="preserve"> sheet, the </t>
    </r>
    <r>
      <rPr>
        <b/>
        <sz val="11"/>
        <color theme="1"/>
        <rFont val="Arial"/>
        <family val="2"/>
      </rPr>
      <t>only</t>
    </r>
    <r>
      <rPr>
        <sz val="11"/>
        <color theme="1"/>
        <rFont val="Arial"/>
        <family val="2"/>
      </rPr>
      <t xml:space="preserve"> cell you may change is the </t>
    </r>
    <r>
      <rPr>
        <b/>
        <sz val="11"/>
        <color theme="1"/>
        <rFont val="Arial"/>
        <family val="2"/>
      </rPr>
      <t>Beginning Balance</t>
    </r>
    <r>
      <rPr>
        <sz val="11"/>
        <color theme="1"/>
        <rFont val="Arial"/>
        <family val="2"/>
      </rPr>
      <t xml:space="preserve"> inside the Emergency Funds table (if you want to seed that table with an opening amount). Do </t>
    </r>
    <r>
      <rPr>
        <b/>
        <sz val="11"/>
        <color theme="1"/>
        <rFont val="Arial"/>
        <family val="2"/>
      </rPr>
      <t>not</t>
    </r>
    <r>
      <rPr>
        <sz val="11"/>
        <color theme="1"/>
        <rFont val="Arial"/>
        <family val="2"/>
      </rPr>
      <t xml:space="preserve"> edit other cells on that sheet — they contain formulas and links.</t>
    </r>
  </si>
  <si>
    <r>
      <t xml:space="preserve">1. Open </t>
    </r>
    <r>
      <rPr>
        <b/>
        <sz val="11"/>
        <color theme="1"/>
        <rFont val="Arial"/>
        <family val="2"/>
      </rPr>
      <t>Budget Input</t>
    </r>
    <r>
      <rPr>
        <sz val="11"/>
        <color theme="1"/>
        <rFont val="Arial"/>
        <family val="2"/>
      </rPr>
      <t xml:space="preserve">. You will see columns for months (Jan → Dec) and columns for </t>
    </r>
    <r>
      <rPr>
        <b/>
        <sz val="11"/>
        <color theme="1"/>
        <rFont val="Arial"/>
        <family val="2"/>
      </rPr>
      <t>Total</t>
    </r>
    <r>
      <rPr>
        <sz val="11"/>
        <color theme="1"/>
        <rFont val="Arial"/>
        <family val="2"/>
      </rPr>
      <t xml:space="preserve"> and </t>
    </r>
    <r>
      <rPr>
        <b/>
        <sz val="11"/>
        <color theme="1"/>
        <rFont val="Arial"/>
        <family val="2"/>
      </rPr>
      <t>Monthly Average</t>
    </r>
    <r>
      <rPr>
        <sz val="11"/>
        <color theme="1"/>
        <rFont val="Arial"/>
        <family val="2"/>
      </rPr>
      <t>.</t>
    </r>
  </si>
  <si>
    <r>
      <t xml:space="preserve">2. If you are </t>
    </r>
    <r>
      <rPr>
        <b/>
        <sz val="11"/>
        <color theme="1"/>
        <rFont val="Arial"/>
        <family val="2"/>
      </rPr>
      <t>starting the year part-way through</t>
    </r>
    <r>
      <rPr>
        <sz val="11"/>
        <color theme="1"/>
        <rFont val="Arial"/>
        <family val="2"/>
      </rPr>
      <t xml:space="preserve">, enter your current cash balance into the </t>
    </r>
    <r>
      <rPr>
        <b/>
        <sz val="11"/>
        <color theme="1"/>
        <rFont val="Arial"/>
        <family val="2"/>
      </rPr>
      <t>Jan → Beginning Balance</t>
    </r>
    <r>
      <rPr>
        <sz val="11"/>
        <color theme="1"/>
        <rFont val="Arial"/>
        <family val="2"/>
      </rPr>
      <t xml:space="preserve"> cell in the Budget Input sheet. This tells the workbook where to start the running balances.</t>
    </r>
  </si>
  <si>
    <r>
      <t>Monthly and Annual snapshots</t>
    </r>
    <r>
      <rPr>
        <sz val="11"/>
        <color theme="1"/>
        <rFont val="Arial"/>
        <family val="2"/>
      </rPr>
      <t>: For Income, each Expense head and Surplus/Deficit. Use the summary to see how any single category contributes across months and for the year.</t>
    </r>
  </si>
  <si>
    <r>
      <t>Charts</t>
    </r>
    <r>
      <rPr>
        <sz val="11"/>
        <color theme="1"/>
        <rFont val="Arial"/>
        <family val="2"/>
      </rPr>
      <t>:</t>
    </r>
  </si>
  <si>
    <r>
      <t>Monthly Cash Flow Chart</t>
    </r>
    <r>
      <rPr>
        <sz val="11"/>
        <color theme="1"/>
        <rFont val="Arial"/>
        <family val="2"/>
      </rPr>
      <t xml:space="preserve"> — compares your monthly income, expenses and the resulting deficit or surplus; good for seeing seasonal swings.</t>
    </r>
  </si>
  <si>
    <r>
      <t>Annual Expense Comparison Chart</t>
    </r>
    <r>
      <rPr>
        <sz val="11"/>
        <color theme="1"/>
        <rFont val="Arial"/>
        <family val="2"/>
      </rPr>
      <t xml:space="preserve"> — compares total annual spending by expense head so you can quickly spot which categories take the biggest share of your budget.</t>
    </r>
  </si>
  <si>
    <r>
      <t>50/30/20 Comparison</t>
    </r>
    <r>
      <rPr>
        <sz val="11"/>
        <color theme="1"/>
        <rFont val="Arial"/>
        <family val="2"/>
      </rPr>
      <t>: A table and chart compare your annual totals against the 50/30/20 rule (50% needs, 30% wants, 20% savings). This helps you check whether your plan aligns with that guideline and where adjustments may be needed.</t>
    </r>
  </si>
  <si>
    <r>
      <t xml:space="preserve">The </t>
    </r>
    <r>
      <rPr>
        <b/>
        <sz val="11"/>
        <color theme="1"/>
        <rFont val="Arial"/>
        <family val="2"/>
      </rPr>
      <t>Emergency Funds</t>
    </r>
    <r>
      <rPr>
        <sz val="11"/>
        <color theme="1"/>
        <rFont val="Arial"/>
        <family val="2"/>
      </rPr>
      <t xml:space="preserve"> table on the Budget Summary lets you track monthly additions and withdrawals to your emergency savings and shows the ending balance for each month.</t>
    </r>
  </si>
  <si>
    <r>
      <t>Before you use it</t>
    </r>
    <r>
      <rPr>
        <sz val="11"/>
        <color theme="1"/>
        <rFont val="Arial"/>
        <family val="2"/>
      </rPr>
      <t xml:space="preserve">, enter the </t>
    </r>
    <r>
      <rPr>
        <b/>
        <sz val="11"/>
        <color theme="1"/>
        <rFont val="Arial"/>
        <family val="2"/>
      </rPr>
      <t>Beginning Balance</t>
    </r>
    <r>
      <rPr>
        <sz val="11"/>
        <color theme="1"/>
        <rFont val="Arial"/>
        <family val="2"/>
      </rPr>
      <t xml:space="preserve"> for emergency funds into the designated cell in that table. This is the only cell in the Budget Summary you should edit. All other cells in that table are calculated.</t>
    </r>
  </si>
  <si>
    <r>
      <t xml:space="preserve">If you begin tracking from a month other than January, place your current cash balance in the </t>
    </r>
    <r>
      <rPr>
        <b/>
        <sz val="11"/>
        <color theme="1"/>
        <rFont val="Arial"/>
        <family val="2"/>
      </rPr>
      <t>Jan → Beginning Balance</t>
    </r>
    <r>
      <rPr>
        <sz val="11"/>
        <color theme="1"/>
        <rFont val="Arial"/>
        <family val="2"/>
      </rPr>
      <t xml:space="preserve"> on the Budget Input sheet. The workbook uses this to calculate the running balances across months so the numbers remain consistent when you add data later.</t>
    </r>
  </si>
  <si>
    <r>
      <t>Surplus (Deficit)</t>
    </r>
    <r>
      <rPr>
        <sz val="11"/>
        <color theme="1"/>
        <rFont val="Arial"/>
        <family val="2"/>
      </rPr>
      <t xml:space="preserve"> — Income minus Expenses for each month. Positive means you have leftover cash that month; negative means you overspent.</t>
    </r>
  </si>
  <si>
    <r>
      <t>Budgeted Ending Balance</t>
    </r>
    <r>
      <rPr>
        <sz val="11"/>
        <color theme="1"/>
        <rFont val="Arial"/>
        <family val="2"/>
      </rPr>
      <t xml:space="preserve"> — the cash position at the end of the month after receipts and payments. Use this to judge liquidity and plan transfers to savings or emergency funds.</t>
    </r>
  </si>
  <si>
    <r>
      <t>Totals and Monthly Average</t>
    </r>
    <r>
      <rPr>
        <sz val="11"/>
        <color theme="1"/>
        <rFont val="Arial"/>
        <family val="2"/>
      </rPr>
      <t xml:space="preserve"> columns — totals for the year and a simple monthly average to show typical monthly impact.</t>
    </r>
  </si>
  <si>
    <r>
      <t>If a total looks wrong</t>
    </r>
    <r>
      <rPr>
        <sz val="11"/>
        <color theme="1"/>
        <rFont val="Arial"/>
        <family val="2"/>
      </rPr>
      <t>: check you entered amounts in the correct month and row, and that you didn’t accidentally overwrite formula cells.</t>
    </r>
  </si>
  <si>
    <r>
      <t>If a chart doesn’t update</t>
    </r>
    <r>
      <rPr>
        <sz val="11"/>
        <color theme="1"/>
        <rFont val="Arial"/>
        <family val="2"/>
      </rPr>
      <t>: save the workbook and refresh/reopen. If you use a caching plugin or external viewer, ensure it shows the updated file.</t>
    </r>
  </si>
  <si>
    <r>
      <t>If emergency fund totals are off</t>
    </r>
    <r>
      <rPr>
        <sz val="11"/>
        <color theme="1"/>
        <rFont val="Arial"/>
        <family val="2"/>
      </rPr>
      <t xml:space="preserve">: verify you set the Emergency Funds </t>
    </r>
    <r>
      <rPr>
        <b/>
        <sz val="11"/>
        <color theme="1"/>
        <rFont val="Arial"/>
        <family val="2"/>
      </rPr>
      <t>Beginning Balance</t>
    </r>
    <r>
      <rPr>
        <sz val="11"/>
        <color theme="1"/>
        <rFont val="Arial"/>
        <family val="2"/>
      </rPr>
      <t xml:space="preserve"> correctly; this is the source for the month-by-month running totals.</t>
    </r>
  </si>
  <si>
    <r>
      <t xml:space="preserve">This template is built so you can focus on decisions, not formulas. Enter your income and expense values carefully on the </t>
    </r>
    <r>
      <rPr>
        <b/>
        <sz val="11"/>
        <color theme="1"/>
        <rFont val="Arial"/>
        <family val="2"/>
      </rPr>
      <t>Budget Input</t>
    </r>
    <r>
      <rPr>
        <sz val="11"/>
        <color theme="1"/>
        <rFont val="Arial"/>
        <family val="2"/>
      </rPr>
      <t xml:space="preserve"> sheet, leave the formulas alone, and use the </t>
    </r>
    <r>
      <rPr>
        <b/>
        <sz val="11"/>
        <color theme="1"/>
        <rFont val="Arial"/>
        <family val="2"/>
      </rPr>
      <t>Budget Summary</t>
    </r>
    <r>
      <rPr>
        <sz val="11"/>
        <color theme="1"/>
        <rFont val="Arial"/>
        <family val="2"/>
      </rPr>
      <t xml:space="preserve"> charts and tables to reflect, adjust and improve your plan. If you want, I can convert this Help text into a printable one-page PDF or paste it directly into your Cover sheet for easy access by other users — tell me which you prefer.</t>
    </r>
  </si>
  <si>
    <t>Personal Budget Excel Spreadsheet</t>
  </si>
  <si>
    <t>Personal Budgeting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</si>
</sst>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3" formatCode="_ * #,##0.00_ ;_ * \-#,##0.00_ ;_ * &quot;-&quot;??_ ;_ @_ "/>
    <numFmt numFmtId="164" formatCode="_ * #,##0_ ;_ * \-#,##0_ ;_ * &quot;-&quot;??_ ;_ @_ "/>
    <numFmt numFmtId="165" formatCode="0.00%;[Red]\-0.00%;0.00%"/>
  </numFmts>
  <fonts count="40" x14ac:knownFonts="1">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u/>
      <sz val="9"/>
      <color theme="1"/>
      <name val="Arial"/>
      <family val="2"/>
    </font>
    <font>
      <sz val="9"/>
      <color theme="1"/>
      <name val="Arial"/>
      <family val="2"/>
    </font>
    <font>
      <u/>
      <sz val="11"/>
      <color theme="10"/>
      <name val="Arial"/>
      <family val="2"/>
    </font>
    <font>
      <b/>
      <sz val="16"/>
      <color theme="1"/>
      <name val="Arial"/>
      <family val="2"/>
    </font>
    <font>
      <b/>
      <sz val="14"/>
      <color rgb="FF0070C0"/>
      <name val="Arial"/>
      <family val="2"/>
    </font>
    <font>
      <i/>
      <sz val="10"/>
      <color theme="1"/>
      <name val="Arial"/>
      <family val="2"/>
    </font>
    <font>
      <sz val="14"/>
      <color theme="1"/>
      <name val="Arial"/>
      <family val="2"/>
    </font>
    <font>
      <sz val="10"/>
      <color theme="1"/>
      <name val="Arial"/>
      <family val="2"/>
    </font>
    <font>
      <b/>
      <sz val="10"/>
      <color theme="1"/>
      <name val="Arial"/>
      <family val="2"/>
    </font>
    <font>
      <sz val="10"/>
      <color rgb="FF002060"/>
      <name val="Arial"/>
      <family val="2"/>
    </font>
    <font>
      <sz val="8"/>
      <name val="Calibri"/>
      <family val="2"/>
      <scheme val="minor"/>
    </font>
    <font>
      <sz val="9"/>
      <color indexed="81"/>
      <name val="Tahoma"/>
      <family val="2"/>
    </font>
    <font>
      <sz val="10"/>
      <color theme="1"/>
      <name val="Aptos"/>
      <family val="2"/>
    </font>
    <font>
      <b/>
      <sz val="10"/>
      <color theme="1"/>
      <name val="Aptos"/>
      <family val="2"/>
    </font>
    <font>
      <b/>
      <sz val="10"/>
      <name val="Aptos"/>
      <family val="2"/>
    </font>
    <font>
      <b/>
      <sz val="10"/>
      <color theme="0"/>
      <name val="Aptos"/>
      <family val="2"/>
    </font>
    <font>
      <sz val="10"/>
      <name val="Aptos"/>
      <family val="2"/>
    </font>
    <font>
      <b/>
      <sz val="9"/>
      <color theme="0"/>
      <name val="Aptos"/>
      <family val="2"/>
    </font>
    <font>
      <sz val="11"/>
      <color theme="10"/>
      <name val="Segoe UI"/>
      <family val="2"/>
    </font>
    <font>
      <i/>
      <sz val="10"/>
      <color theme="1"/>
      <name val="Aptos"/>
      <family val="2"/>
    </font>
    <font>
      <sz val="16"/>
      <color rgb="FF002060"/>
      <name val="Arial"/>
      <family val="2"/>
    </font>
    <font>
      <i/>
      <sz val="9"/>
      <color theme="1"/>
      <name val="Arial"/>
      <family val="2"/>
    </font>
    <font>
      <u/>
      <sz val="10"/>
      <color theme="10"/>
      <name val="Arial"/>
      <family val="2"/>
    </font>
    <font>
      <b/>
      <sz val="11"/>
      <color theme="1"/>
      <name val="Arial"/>
      <family val="2"/>
    </font>
    <font>
      <i/>
      <sz val="9"/>
      <color theme="1"/>
      <name val="Aptos"/>
      <family val="2"/>
    </font>
    <font>
      <b/>
      <sz val="12"/>
      <color theme="1"/>
      <name val="Arial"/>
      <family val="2"/>
    </font>
    <font>
      <sz val="10"/>
      <color rgb="FF0070C0"/>
      <name val="Arial"/>
      <family val="2"/>
    </font>
    <font>
      <b/>
      <sz val="10"/>
      <color rgb="FF002060"/>
      <name val="Arial"/>
      <family val="2"/>
    </font>
    <font>
      <b/>
      <sz val="12"/>
      <color rgb="FF002060"/>
      <name val="Arial"/>
      <family val="2"/>
    </font>
    <font>
      <b/>
      <sz val="10"/>
      <color rgb="FFFF0000"/>
      <name val="Arial"/>
      <family val="2"/>
    </font>
    <font>
      <b/>
      <sz val="10"/>
      <color theme="0"/>
      <name val="Arial"/>
      <family val="2"/>
    </font>
    <font>
      <b/>
      <i/>
      <sz val="11"/>
      <color theme="1"/>
      <name val="Arial"/>
      <family val="2"/>
    </font>
    <font>
      <sz val="11"/>
      <color rgb="FF0070C0"/>
      <name val="Arial"/>
      <family val="2"/>
    </font>
    <font>
      <b/>
      <sz val="12"/>
      <color rgb="FFC00000"/>
      <name val="Arial"/>
      <family val="2"/>
    </font>
    <font>
      <b/>
      <sz val="14"/>
      <color theme="1"/>
      <name val="Arial"/>
      <family val="2"/>
    </font>
    <font>
      <u/>
      <sz val="14"/>
      <color theme="10"/>
      <name val="Arial"/>
      <family val="2"/>
    </font>
  </fonts>
  <fills count="11">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01796F"/>
        <bgColor indexed="64"/>
      </patternFill>
    </fill>
    <fill>
      <patternFill patternType="solid">
        <fgColor rgb="FF004953"/>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theme="4" tint="0.59999389629810485"/>
        <bgColor indexed="64"/>
      </patternFill>
    </fill>
  </fills>
  <borders count="20">
    <border>
      <left/>
      <right/>
      <top/>
      <bottom/>
      <diagonal/>
    </border>
    <border>
      <left style="thick">
        <color rgb="FFF7941D"/>
      </left>
      <right/>
      <top style="thick">
        <color rgb="FFF7941D"/>
      </top>
      <bottom/>
      <diagonal/>
    </border>
    <border>
      <left/>
      <right/>
      <top style="thick">
        <color rgb="FFF7941D"/>
      </top>
      <bottom/>
      <diagonal/>
    </border>
    <border>
      <left/>
      <right style="thick">
        <color rgb="FFF7941D"/>
      </right>
      <top style="thick">
        <color rgb="FFF7941D"/>
      </top>
      <bottom/>
      <diagonal/>
    </border>
    <border>
      <left style="thick">
        <color rgb="FFF7941D"/>
      </left>
      <right/>
      <top/>
      <bottom/>
      <diagonal/>
    </border>
    <border>
      <left/>
      <right style="thick">
        <color rgb="FFF7941D"/>
      </right>
      <top/>
      <bottom/>
      <diagonal/>
    </border>
    <border>
      <left style="thick">
        <color rgb="FFF7941D"/>
      </left>
      <right/>
      <top/>
      <bottom style="thick">
        <color rgb="FFF7941D"/>
      </bottom>
      <diagonal/>
    </border>
    <border>
      <left/>
      <right/>
      <top/>
      <bottom style="thick">
        <color rgb="FFF7941D"/>
      </bottom>
      <diagonal/>
    </border>
    <border>
      <left/>
      <right style="thick">
        <color rgb="FFF7941D"/>
      </right>
      <top/>
      <bottom style="thick">
        <color rgb="FFF7941D"/>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double">
        <color indexed="64"/>
      </bottom>
      <diagonal/>
    </border>
    <border>
      <left/>
      <right style="thin">
        <color theme="0" tint="-0.24994659260841701"/>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top/>
      <bottom/>
      <diagonal/>
    </border>
    <border>
      <left/>
      <right/>
      <top style="thin">
        <color indexed="64"/>
      </top>
      <bottom/>
      <diagonal/>
    </border>
    <border>
      <left/>
      <right/>
      <top/>
      <bottom style="double">
        <color indexed="64"/>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s>
  <cellStyleXfs count="6">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3" fillId="0" borderId="0"/>
    <xf numFmtId="0" fontId="6" fillId="0" borderId="0" applyNumberFormat="0" applyFill="0" applyBorder="0" applyAlignment="0" applyProtection="0"/>
    <xf numFmtId="9" fontId="1" fillId="0" borderId="0" applyFont="0" applyFill="0" applyBorder="0" applyAlignment="0" applyProtection="0"/>
  </cellStyleXfs>
  <cellXfs count="122">
    <xf numFmtId="0" fontId="0" fillId="0" borderId="0" xfId="0"/>
    <xf numFmtId="0" fontId="3" fillId="2" borderId="0" xfId="3" applyFill="1"/>
    <xf numFmtId="0" fontId="3" fillId="0" borderId="0" xfId="3"/>
    <xf numFmtId="0" fontId="4" fillId="0" borderId="0" xfId="3" applyFont="1"/>
    <xf numFmtId="0" fontId="5" fillId="0" borderId="0" xfId="3" applyFont="1"/>
    <xf numFmtId="0" fontId="7" fillId="0" borderId="0" xfId="3" applyFont="1" applyAlignment="1">
      <alignment horizontal="left" vertical="center"/>
    </xf>
    <xf numFmtId="0" fontId="8" fillId="0" borderId="0" xfId="3" applyFont="1" applyAlignment="1">
      <alignment horizontal="left" vertical="center"/>
    </xf>
    <xf numFmtId="0" fontId="9" fillId="0" borderId="0" xfId="3" applyFont="1"/>
    <xf numFmtId="0" fontId="10" fillId="0" borderId="0" xfId="3" applyFont="1" applyAlignment="1">
      <alignment horizontal="center" vertical="center"/>
    </xf>
    <xf numFmtId="0" fontId="11" fillId="0" borderId="0" xfId="3" applyFont="1" applyAlignment="1">
      <alignment horizontal="left" vertical="center"/>
    </xf>
    <xf numFmtId="0" fontId="9" fillId="0" borderId="0" xfId="3" applyFont="1" applyAlignment="1">
      <alignment horizontal="left" vertical="center"/>
    </xf>
    <xf numFmtId="0" fontId="13" fillId="0" borderId="0" xfId="3" applyFont="1" applyAlignment="1">
      <alignment horizontal="center"/>
    </xf>
    <xf numFmtId="0" fontId="16" fillId="0" borderId="0" xfId="0" applyFont="1"/>
    <xf numFmtId="0" fontId="17" fillId="4" borderId="0" xfId="0" applyFont="1" applyFill="1"/>
    <xf numFmtId="164" fontId="16" fillId="0" borderId="9" xfId="1" applyNumberFormat="1" applyFont="1" applyFill="1" applyBorder="1"/>
    <xf numFmtId="164" fontId="16" fillId="4" borderId="10" xfId="0" applyNumberFormat="1" applyFont="1" applyFill="1" applyBorder="1"/>
    <xf numFmtId="0" fontId="16" fillId="4" borderId="0" xfId="0" applyFont="1" applyFill="1"/>
    <xf numFmtId="164" fontId="16" fillId="4" borderId="0" xfId="1" applyNumberFormat="1" applyFont="1" applyFill="1"/>
    <xf numFmtId="164" fontId="17" fillId="4" borderId="11" xfId="1" applyNumberFormat="1" applyFont="1" applyFill="1" applyBorder="1"/>
    <xf numFmtId="0" fontId="17" fillId="4" borderId="10" xfId="0" applyFont="1" applyFill="1" applyBorder="1"/>
    <xf numFmtId="164" fontId="19" fillId="5" borderId="0" xfId="1" applyNumberFormat="1" applyFont="1" applyFill="1" applyBorder="1" applyAlignment="1">
      <alignment horizontal="right"/>
    </xf>
    <xf numFmtId="0" fontId="19" fillId="6" borderId="0" xfId="0" applyFont="1" applyFill="1" applyAlignment="1">
      <alignment horizontal="left"/>
    </xf>
    <xf numFmtId="164" fontId="20" fillId="0" borderId="0" xfId="1" applyNumberFormat="1" applyFont="1" applyAlignment="1">
      <alignment vertical="center" shrinkToFit="1"/>
    </xf>
    <xf numFmtId="164" fontId="16" fillId="0" borderId="0" xfId="1" applyNumberFormat="1" applyFont="1" applyFill="1" applyAlignment="1">
      <alignment vertical="center"/>
    </xf>
    <xf numFmtId="164" fontId="20" fillId="0" borderId="12" xfId="1" applyNumberFormat="1" applyFont="1" applyFill="1" applyBorder="1" applyAlignment="1">
      <alignment vertical="center" shrinkToFit="1"/>
    </xf>
    <xf numFmtId="164" fontId="20" fillId="0" borderId="13" xfId="1" applyNumberFormat="1" applyFont="1" applyFill="1" applyBorder="1" applyAlignment="1">
      <alignment vertical="center"/>
    </xf>
    <xf numFmtId="164" fontId="20" fillId="0" borderId="14" xfId="1" applyNumberFormat="1" applyFont="1" applyFill="1" applyBorder="1" applyAlignment="1">
      <alignment vertical="center"/>
    </xf>
    <xf numFmtId="164" fontId="20" fillId="0" borderId="0" xfId="1" applyNumberFormat="1" applyFont="1" applyFill="1" applyBorder="1" applyAlignment="1">
      <alignment vertical="center"/>
    </xf>
    <xf numFmtId="164" fontId="16" fillId="0" borderId="0" xfId="1" applyNumberFormat="1" applyFont="1" applyFill="1" applyBorder="1" applyAlignment="1">
      <alignment vertical="center"/>
    </xf>
    <xf numFmtId="164" fontId="18" fillId="0" borderId="0" xfId="0" applyNumberFormat="1" applyFont="1" applyAlignment="1">
      <alignment horizontal="right" vertical="center" shrinkToFit="1"/>
    </xf>
    <xf numFmtId="0" fontId="19" fillId="6" borderId="0" xfId="0" applyFont="1" applyFill="1" applyAlignment="1">
      <alignment horizontal="right"/>
    </xf>
    <xf numFmtId="0" fontId="16" fillId="0" borderId="0" xfId="0" applyFont="1" applyAlignment="1">
      <alignment vertical="center" wrapText="1"/>
    </xf>
    <xf numFmtId="164" fontId="20" fillId="0" borderId="0" xfId="1" applyNumberFormat="1" applyFont="1" applyAlignment="1">
      <alignment horizontal="left" vertical="center" shrinkToFit="1"/>
    </xf>
    <xf numFmtId="164" fontId="17" fillId="7" borderId="10" xfId="0" applyNumberFormat="1" applyFont="1" applyFill="1" applyBorder="1"/>
    <xf numFmtId="164" fontId="17" fillId="7" borderId="0" xfId="1" applyNumberFormat="1" applyFont="1" applyFill="1"/>
    <xf numFmtId="164" fontId="17" fillId="7" borderId="11" xfId="1" applyNumberFormat="1" applyFont="1" applyFill="1" applyBorder="1"/>
    <xf numFmtId="164" fontId="17" fillId="7" borderId="16" xfId="0" applyNumberFormat="1" applyFont="1" applyFill="1" applyBorder="1"/>
    <xf numFmtId="164" fontId="17" fillId="0" borderId="10" xfId="0" applyNumberFormat="1" applyFont="1" applyBorder="1"/>
    <xf numFmtId="164" fontId="17" fillId="0" borderId="0" xfId="0" applyNumberFormat="1" applyFont="1"/>
    <xf numFmtId="0" fontId="21" fillId="6" borderId="0" xfId="0" applyFont="1" applyFill="1" applyAlignment="1">
      <alignment horizontal="right"/>
    </xf>
    <xf numFmtId="164" fontId="17" fillId="7" borderId="0" xfId="1" applyNumberFormat="1" applyFont="1" applyFill="1" applyAlignment="1">
      <alignment vertical="center"/>
    </xf>
    <xf numFmtId="164" fontId="17" fillId="7" borderId="15" xfId="1" applyNumberFormat="1" applyFont="1" applyFill="1" applyBorder="1" applyAlignment="1">
      <alignment vertical="center"/>
    </xf>
    <xf numFmtId="164" fontId="17" fillId="7" borderId="11" xfId="0" applyNumberFormat="1" applyFont="1" applyFill="1" applyBorder="1" applyAlignment="1">
      <alignment vertical="center"/>
    </xf>
    <xf numFmtId="0" fontId="23" fillId="0" borderId="0" xfId="0" applyFont="1"/>
    <xf numFmtId="0" fontId="24" fillId="0" borderId="0" xfId="0" applyFont="1"/>
    <xf numFmtId="0" fontId="9" fillId="0" borderId="0" xfId="3" applyFont="1" applyAlignment="1">
      <alignment vertical="center" wrapText="1"/>
    </xf>
    <xf numFmtId="0" fontId="9" fillId="0" borderId="0" xfId="3" applyFont="1" applyAlignment="1">
      <alignment vertical="center"/>
    </xf>
    <xf numFmtId="0" fontId="25" fillId="0" borderId="0" xfId="3" applyFont="1" applyAlignment="1">
      <alignment wrapText="1"/>
    </xf>
    <xf numFmtId="0" fontId="11" fillId="0" borderId="0" xfId="0" applyFont="1"/>
    <xf numFmtId="164" fontId="17" fillId="7" borderId="17" xfId="1" applyNumberFormat="1" applyFont="1" applyFill="1" applyBorder="1"/>
    <xf numFmtId="164" fontId="17" fillId="7" borderId="11" xfId="0" applyNumberFormat="1" applyFont="1" applyFill="1" applyBorder="1"/>
    <xf numFmtId="164" fontId="11" fillId="0" borderId="0" xfId="0" applyNumberFormat="1" applyFont="1"/>
    <xf numFmtId="0" fontId="12" fillId="0" borderId="0" xfId="0" applyFont="1"/>
    <xf numFmtId="164" fontId="16" fillId="7" borderId="0" xfId="1" applyNumberFormat="1" applyFont="1" applyFill="1" applyBorder="1"/>
    <xf numFmtId="164" fontId="16" fillId="7" borderId="0" xfId="0" applyNumberFormat="1" applyFont="1" applyFill="1"/>
    <xf numFmtId="164" fontId="12" fillId="8" borderId="11" xfId="0" applyNumberFormat="1" applyFont="1" applyFill="1" applyBorder="1"/>
    <xf numFmtId="0" fontId="27" fillId="9" borderId="0" xfId="0" applyFont="1" applyFill="1"/>
    <xf numFmtId="164" fontId="11" fillId="4" borderId="0" xfId="0" applyNumberFormat="1" applyFont="1" applyFill="1"/>
    <xf numFmtId="0" fontId="9" fillId="0" borderId="0" xfId="0" applyFont="1"/>
    <xf numFmtId="164" fontId="11" fillId="0" borderId="9" xfId="1" applyNumberFormat="1" applyFont="1" applyBorder="1"/>
    <xf numFmtId="164" fontId="11" fillId="4" borderId="0" xfId="1" applyNumberFormat="1" applyFont="1" applyFill="1"/>
    <xf numFmtId="164" fontId="11" fillId="4" borderId="10" xfId="1" applyNumberFormat="1" applyFont="1" applyFill="1" applyBorder="1"/>
    <xf numFmtId="164" fontId="11" fillId="4" borderId="0" xfId="1" applyNumberFormat="1" applyFont="1" applyFill="1" applyBorder="1"/>
    <xf numFmtId="164" fontId="11" fillId="4" borderId="11" xfId="1" applyNumberFormat="1" applyFont="1" applyFill="1" applyBorder="1"/>
    <xf numFmtId="0" fontId="28" fillId="0" borderId="0" xfId="0" applyFont="1"/>
    <xf numFmtId="0" fontId="25" fillId="0" borderId="0" xfId="0" applyFont="1"/>
    <xf numFmtId="0" fontId="2" fillId="0" borderId="0" xfId="2"/>
    <xf numFmtId="0" fontId="30" fillId="0" borderId="0" xfId="0" applyFont="1"/>
    <xf numFmtId="0" fontId="30" fillId="0" borderId="0" xfId="0" applyFont="1" applyAlignment="1">
      <alignment horizontal="right"/>
    </xf>
    <xf numFmtId="0" fontId="18" fillId="0" borderId="11" xfId="0" applyFont="1" applyBorder="1" applyAlignment="1">
      <alignment vertical="center"/>
    </xf>
    <xf numFmtId="43" fontId="20" fillId="0" borderId="0" xfId="1" applyFont="1" applyFill="1" applyAlignment="1">
      <alignment vertical="center"/>
    </xf>
    <xf numFmtId="0" fontId="18" fillId="0" borderId="0" xfId="0" applyFont="1" applyAlignment="1">
      <alignment vertical="center"/>
    </xf>
    <xf numFmtId="164" fontId="20" fillId="0" borderId="18" xfId="1" applyNumberFormat="1" applyFont="1" applyFill="1" applyBorder="1" applyAlignment="1">
      <alignment vertical="center"/>
    </xf>
    <xf numFmtId="164" fontId="20" fillId="0" borderId="19" xfId="1" applyNumberFormat="1" applyFont="1" applyFill="1" applyBorder="1" applyAlignment="1">
      <alignment vertical="center"/>
    </xf>
    <xf numFmtId="43" fontId="20" fillId="0" borderId="18" xfId="1" applyFont="1" applyFill="1" applyBorder="1" applyAlignment="1">
      <alignment vertical="center"/>
    </xf>
    <xf numFmtId="0" fontId="17" fillId="0" borderId="0" xfId="0" applyFont="1"/>
    <xf numFmtId="0" fontId="31" fillId="0" borderId="0" xfId="0" applyFont="1"/>
    <xf numFmtId="164" fontId="11" fillId="0" borderId="0" xfId="1" applyNumberFormat="1" applyFont="1"/>
    <xf numFmtId="164" fontId="12" fillId="0" borderId="11" xfId="0" applyNumberFormat="1" applyFont="1" applyBorder="1"/>
    <xf numFmtId="9" fontId="11" fillId="0" borderId="0" xfId="5" applyFont="1"/>
    <xf numFmtId="0" fontId="12" fillId="0" borderId="9" xfId="0" applyFont="1" applyBorder="1" applyAlignment="1">
      <alignment horizontal="right"/>
    </xf>
    <xf numFmtId="0" fontId="32" fillId="0" borderId="0" xfId="0" applyFont="1"/>
    <xf numFmtId="164" fontId="33" fillId="0" borderId="0" xfId="0" applyNumberFormat="1" applyFont="1"/>
    <xf numFmtId="164" fontId="12" fillId="8" borderId="0" xfId="0" applyNumberFormat="1" applyFont="1" applyFill="1"/>
    <xf numFmtId="164" fontId="12" fillId="0" borderId="0" xfId="0" applyNumberFormat="1" applyFont="1"/>
    <xf numFmtId="164" fontId="17" fillId="0" borderId="0" xfId="1" applyNumberFormat="1" applyFont="1" applyFill="1" applyBorder="1"/>
    <xf numFmtId="164" fontId="34" fillId="6" borderId="0" xfId="1" applyNumberFormat="1" applyFont="1" applyFill="1" applyAlignment="1">
      <alignment horizontal="right"/>
    </xf>
    <xf numFmtId="0" fontId="3" fillId="0" borderId="0" xfId="0" applyFont="1"/>
    <xf numFmtId="0" fontId="6" fillId="0" borderId="0" xfId="2" applyFont="1"/>
    <xf numFmtId="0" fontId="3" fillId="0" borderId="0" xfId="0" applyFont="1" applyAlignment="1">
      <alignment wrapText="1"/>
    </xf>
    <xf numFmtId="0" fontId="3" fillId="0" borderId="0" xfId="0" applyFont="1" applyAlignment="1">
      <alignment horizontal="left" vertical="center" wrapText="1"/>
    </xf>
    <xf numFmtId="0" fontId="27" fillId="0" borderId="0" xfId="0" applyFont="1" applyAlignment="1">
      <alignment horizontal="left" vertical="center" wrapText="1"/>
    </xf>
    <xf numFmtId="0" fontId="27" fillId="0" borderId="0" xfId="0" applyFont="1"/>
    <xf numFmtId="0" fontId="36" fillId="0" borderId="0" xfId="0" applyFont="1"/>
    <xf numFmtId="0" fontId="36" fillId="0" borderId="0" xfId="0" applyFont="1" applyAlignment="1">
      <alignment horizontal="right"/>
    </xf>
    <xf numFmtId="0" fontId="37" fillId="0" borderId="0" xfId="0" applyFont="1" applyAlignment="1">
      <alignment vertical="center"/>
    </xf>
    <xf numFmtId="0" fontId="29" fillId="0" borderId="0" xfId="0" applyFont="1" applyAlignment="1">
      <alignment vertical="center" wrapText="1"/>
    </xf>
    <xf numFmtId="0" fontId="38" fillId="0" borderId="0" xfId="0" applyFont="1" applyAlignment="1">
      <alignment vertical="center" wrapText="1"/>
    </xf>
    <xf numFmtId="0" fontId="38" fillId="10" borderId="0" xfId="0" applyFont="1" applyFill="1" applyAlignment="1">
      <alignment horizontal="center"/>
    </xf>
    <xf numFmtId="0" fontId="25" fillId="0" borderId="0" xfId="3" applyFont="1" applyAlignment="1">
      <alignment horizontal="left" vertical="center" wrapText="1"/>
    </xf>
    <xf numFmtId="0" fontId="26" fillId="3" borderId="0" xfId="2" applyFont="1" applyFill="1" applyAlignment="1">
      <alignment horizontal="left"/>
    </xf>
    <xf numFmtId="0" fontId="22" fillId="0" borderId="0" xfId="2" applyFont="1" applyAlignment="1">
      <alignment horizontal="right"/>
    </xf>
    <xf numFmtId="0" fontId="2" fillId="3" borderId="0" xfId="2" applyFill="1" applyAlignment="1">
      <alignment horizontal="left"/>
    </xf>
    <xf numFmtId="0" fontId="7" fillId="0" borderId="0" xfId="3" applyFont="1" applyAlignment="1">
      <alignment horizontal="left" vertical="center"/>
    </xf>
    <xf numFmtId="0" fontId="9" fillId="0" borderId="0" xfId="3" applyFont="1" applyAlignment="1">
      <alignment horizontal="left" vertical="center" wrapText="1"/>
    </xf>
    <xf numFmtId="0" fontId="9" fillId="0" borderId="0" xfId="3" applyFont="1" applyAlignment="1">
      <alignment horizontal="left" vertical="center"/>
    </xf>
    <xf numFmtId="0" fontId="13" fillId="0" borderId="0" xfId="3" applyFont="1" applyAlignment="1">
      <alignment horizontal="center"/>
    </xf>
    <xf numFmtId="0" fontId="29" fillId="10" borderId="0" xfId="0" applyFont="1" applyFill="1" applyAlignment="1">
      <alignment horizontal="center"/>
    </xf>
    <xf numFmtId="0" fontId="12" fillId="0" borderId="9" xfId="0" applyFont="1" applyBorder="1" applyAlignment="1">
      <alignment horizontal="right"/>
    </xf>
    <xf numFmtId="9" fontId="11" fillId="0" borderId="0" xfId="0" applyNumberFormat="1" applyFont="1" applyAlignment="1">
      <alignment horizontal="right"/>
    </xf>
    <xf numFmtId="0" fontId="11" fillId="0" borderId="0" xfId="0" applyFont="1" applyAlignment="1">
      <alignment horizontal="right"/>
    </xf>
    <xf numFmtId="165" fontId="12" fillId="0" borderId="0" xfId="5" applyNumberFormat="1" applyFont="1" applyAlignment="1">
      <alignment horizontal="right"/>
    </xf>
    <xf numFmtId="0" fontId="39" fillId="0" borderId="1" xfId="2" applyFont="1" applyBorder="1" applyAlignment="1">
      <alignment horizontal="center" vertical="center"/>
    </xf>
    <xf numFmtId="0" fontId="39" fillId="0" borderId="2" xfId="2" applyFont="1" applyBorder="1" applyAlignment="1">
      <alignment horizontal="center" vertical="center"/>
    </xf>
    <xf numFmtId="0" fontId="39" fillId="0" borderId="3" xfId="2" applyFont="1" applyBorder="1" applyAlignment="1">
      <alignment horizontal="center" vertical="center"/>
    </xf>
    <xf numFmtId="0" fontId="39" fillId="0" borderId="4" xfId="2" applyFont="1" applyBorder="1" applyAlignment="1">
      <alignment horizontal="center" vertical="center"/>
    </xf>
    <xf numFmtId="0" fontId="39" fillId="0" borderId="0" xfId="2" applyFont="1" applyAlignment="1">
      <alignment horizontal="center" vertical="center"/>
    </xf>
    <xf numFmtId="0" fontId="39" fillId="0" borderId="5" xfId="2" applyFont="1" applyBorder="1" applyAlignment="1">
      <alignment horizontal="center" vertical="center"/>
    </xf>
    <xf numFmtId="0" fontId="39" fillId="0" borderId="6" xfId="2" applyFont="1" applyBorder="1" applyAlignment="1">
      <alignment horizontal="center" vertical="center"/>
    </xf>
    <xf numFmtId="0" fontId="39" fillId="0" borderId="7" xfId="2" applyFont="1" applyBorder="1" applyAlignment="1">
      <alignment horizontal="center" vertical="center"/>
    </xf>
    <xf numFmtId="0" fontId="39" fillId="0" borderId="8" xfId="2" applyFont="1" applyBorder="1" applyAlignment="1">
      <alignment horizontal="center" vertical="center"/>
    </xf>
    <xf numFmtId="164" fontId="11" fillId="8" borderId="17" xfId="0" applyNumberFormat="1" applyFont="1" applyFill="1" applyBorder="1"/>
  </cellXfs>
  <cellStyles count="6">
    <cellStyle name="Comma" xfId="1" builtinId="3"/>
    <cellStyle name="Hyperlink" xfId="2" builtinId="8"/>
    <cellStyle name="Hyperlink 2" xfId="4" xr:uid="{6D5D4975-C656-483D-A506-1646F50F98C0}"/>
    <cellStyle name="Normal" xfId="0" builtinId="0"/>
    <cellStyle name="Normal 2" xfId="3" xr:uid="{563FAFB2-4BA1-43A8-9274-1243A3CBAC55}"/>
    <cellStyle name="Percent" xfId="5" builtinId="5"/>
  </cellStyles>
  <dxfs count="497">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indexed="65"/>
        </patternFill>
      </fill>
      <alignment horizontal="general" vertical="center" textRotation="0" wrapText="0" indent="0" justifyLastLine="0" shrinkToFit="0" readingOrder="0"/>
      <border diagonalUp="0" diagonalDown="0">
        <left style="thin">
          <color theme="0" tint="-0.24994659260841701"/>
        </left>
        <right style="thin">
          <color theme="0" tint="-0.24994659260841701"/>
        </right>
        <top style="thin">
          <color theme="0" tint="-0.24994659260841701"/>
        </top>
        <bottom style="thin">
          <color theme="0" tint="-0.24994659260841701"/>
        </bottom>
        <vertical/>
        <horizontal/>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0"/>
        <color auto="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none">
          <fgColor indexed="64"/>
          <bgColor theme="9" tint="0.59999389629810485"/>
        </patternFill>
      </fill>
      <alignment vertical="center" textRotation="0" wrapText="0" indent="0" justifyLastLine="0" readingOrder="0"/>
      <border outline="0">
        <left style="thin">
          <color theme="0" tint="-0.24994659260841701"/>
        </left>
        <right/>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theme="1"/>
        <name val="Aptos"/>
        <family val="2"/>
        <scheme val="none"/>
      </font>
      <numFmt numFmtId="164" formatCode="_ * #,##0_ ;_ * \-#,##0_ ;_ * &quot;-&quot;??_ ;_ @_ "/>
      <fill>
        <patternFill patternType="solid">
          <fgColor indexed="64"/>
          <bgColor theme="9" tint="0.59999389629810485"/>
        </patternFill>
      </fill>
      <alignment horizontal="general" vertical="center" textRotation="0" wrapText="0" indent="0" justifyLastLine="0" shrinkToFit="0" readingOrder="0"/>
      <border diagonalUp="0" diagonalDown="0" outline="0">
        <left/>
        <right/>
        <top style="thin">
          <color indexed="64"/>
        </top>
        <bottom style="double">
          <color indexed="64"/>
        </bottom>
      </border>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vertical="center" textRotation="0" wrapText="0" indent="0" justifyLastLine="0" readingOrder="0"/>
      <border diagonalUp="0" diagonalDown="0" outline="0">
        <left style="thin">
          <color theme="0" tint="-0.24994659260841701"/>
        </left>
        <right style="thin">
          <color theme="0" tint="-0.24994659260841701"/>
        </right>
        <top style="thin">
          <color theme="0" tint="-0.24994659260841701"/>
        </top>
        <bottom style="thin">
          <color theme="0" tint="-0.24994659260841701"/>
        </bottom>
      </border>
    </dxf>
    <dxf>
      <font>
        <b/>
        <i val="0"/>
        <strike val="0"/>
        <condense val="0"/>
        <extend val="0"/>
        <outline val="0"/>
        <shadow val="0"/>
        <u val="none"/>
        <vertAlign val="baseline"/>
        <sz val="10"/>
        <color auto="1"/>
        <name val="Aptos"/>
        <family val="2"/>
        <scheme val="none"/>
      </font>
      <numFmt numFmtId="164" formatCode="_ * #,##0_ ;_ * \-#,##0_ ;_ * &quot;-&quot;??_ ;_ @_ "/>
      <alignment horizontal="right" vertical="center" textRotation="0" wrapText="0" indent="0" justifyLastLine="0" shrinkToFit="1" readingOrder="0"/>
    </dxf>
    <dxf>
      <font>
        <b val="0"/>
        <i val="0"/>
        <strike val="0"/>
        <condense val="0"/>
        <extend val="0"/>
        <outline val="0"/>
        <shadow val="0"/>
        <u val="none"/>
        <vertAlign val="baseline"/>
        <sz val="10"/>
        <color auto="1"/>
        <name val="Aptos"/>
        <family val="2"/>
        <scheme val="none"/>
      </font>
      <numFmt numFmtId="164" formatCode="_ * #,##0_ ;_ * \-#,##0_ ;_ * &quot;-&quot;??_ ;_ @_ "/>
      <fill>
        <patternFill patternType="none">
          <fgColor indexed="64"/>
          <bgColor auto="1"/>
        </patternFill>
      </fill>
      <alignment horizontal="general" vertical="center" textRotation="0" wrapText="0" indent="0" justifyLastLine="0" shrinkToFit="1" readingOrder="0"/>
      <border outline="0">
        <right style="thin">
          <color theme="0" tint="-0.24994659260841701"/>
        </right>
      </border>
    </dxf>
    <dxf>
      <font>
        <b/>
        <strike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val="0"/>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readingOrder="0"/>
    </dxf>
    <dxf>
      <font>
        <b/>
        <i val="0"/>
        <strike val="0"/>
        <condense val="0"/>
        <extend val="0"/>
        <outline val="0"/>
        <shadow val="0"/>
        <u val="none"/>
        <vertAlign val="baseline"/>
        <sz val="10"/>
        <color auto="1"/>
        <name val="Aptos"/>
        <family val="2"/>
        <scheme val="none"/>
      </font>
      <fill>
        <patternFill patternType="none">
          <fgColor indexed="64"/>
          <bgColor auto="1"/>
        </patternFill>
      </fill>
      <alignment vertical="center" textRotation="0" wrapText="0" indent="0" justifyLastLine="0" shrinkToFit="0" readingOrder="0"/>
    </dxf>
    <dxf>
      <font>
        <color theme="6" tint="-0.499984740745262"/>
      </font>
      <fill>
        <patternFill>
          <bgColor theme="6" tint="0.79998168889431442"/>
        </patternFill>
      </fill>
    </dxf>
    <dxf>
      <font>
        <color theme="1"/>
      </font>
      <fill>
        <patternFill>
          <bgColor theme="6" tint="0.79998168889431442"/>
        </patternFill>
      </fill>
    </dxf>
    <dxf>
      <font>
        <b/>
        <color theme="1"/>
      </font>
    </dxf>
    <dxf>
      <font>
        <color theme="1"/>
      </font>
      <fill>
        <patternFill patternType="none">
          <bgColor auto="1"/>
        </patternFill>
      </fill>
    </dxf>
    <dxf>
      <font>
        <b/>
        <color theme="1"/>
      </font>
      <fill>
        <patternFill>
          <bgColor theme="0" tint="-4.9989318521683403E-2"/>
        </patternFill>
      </fill>
      <border>
        <top style="double">
          <color theme="6"/>
        </top>
      </border>
    </dxf>
    <dxf>
      <font>
        <b/>
        <color theme="0"/>
      </font>
      <fill>
        <patternFill patternType="solid">
          <fgColor auto="1"/>
          <bgColor theme="6" tint="-0.24994659260841701"/>
        </patternFill>
      </fill>
      <border>
        <bottom style="thin">
          <color theme="0" tint="-0.24994659260841701"/>
        </bottom>
      </border>
    </dxf>
    <dxf>
      <font>
        <color theme="1"/>
      </font>
      <border>
        <vertical/>
      </border>
    </dxf>
  </dxfs>
  <tableStyles count="1" defaultTableStyle="TableStyleMedium2" defaultPivotStyle="PivotStyleLight16">
    <tableStyle name="V42_IncomeCategory2" pivot="0" count="7" xr9:uid="{5275737D-6041-4154-9CBF-B6E9694557B0}">
      <tableStyleElement type="wholeTable" dxfId="496"/>
      <tableStyleElement type="headerRow" dxfId="495"/>
      <tableStyleElement type="totalRow" dxfId="494"/>
      <tableStyleElement type="firstColumn" dxfId="493"/>
      <tableStyleElement type="lastColumn" dxfId="492"/>
      <tableStyleElement type="firstColumnStripe" dxfId="491"/>
      <tableStyleElement type="secondColumnStripe" dxfId="490"/>
    </tableStyle>
  </tableStyles>
  <colors>
    <mruColors>
      <color rgb="FF01796F"/>
      <color rgb="FF00495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95000"/>
                    <a:lumOff val="5000"/>
                  </a:schemeClr>
                </a:solidFill>
                <a:latin typeface="Arial" panose="020B0604020202020204" pitchFamily="34" charset="0"/>
                <a:ea typeface="+mn-ea"/>
                <a:cs typeface="Arial" panose="020B0604020202020204" pitchFamily="34" charset="0"/>
              </a:defRPr>
            </a:pPr>
            <a:r>
              <a:rPr lang="en-IN">
                <a:solidFill>
                  <a:schemeClr val="tx1">
                    <a:lumMod val="95000"/>
                    <a:lumOff val="5000"/>
                  </a:schemeClr>
                </a:solidFill>
              </a:rPr>
              <a:t>Budget Summary Chart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95000"/>
                  <a:lumOff val="5000"/>
                </a:schemeClr>
              </a:solidFill>
              <a:latin typeface="Arial" panose="020B0604020202020204" pitchFamily="34" charset="0"/>
              <a:ea typeface="+mn-ea"/>
              <a:cs typeface="Arial" panose="020B0604020202020204" pitchFamily="34" charset="0"/>
            </a:defRPr>
          </a:pPr>
          <a:endParaRPr lang="en-US"/>
        </a:p>
      </c:txPr>
    </c:title>
    <c:autoTitleDeleted val="0"/>
    <c:plotArea>
      <c:layout/>
      <c:barChart>
        <c:barDir val="col"/>
        <c:grouping val="clustered"/>
        <c:varyColors val="0"/>
        <c:ser>
          <c:idx val="0"/>
          <c:order val="0"/>
          <c:tx>
            <c:strRef>
              <c:f>'Budget Summary'!$B$118</c:f>
              <c:strCache>
                <c:ptCount val="1"/>
                <c:pt idx="0">
                  <c:v>Total Income</c:v>
                </c:pt>
              </c:strCache>
            </c:strRef>
          </c:tx>
          <c:spPr>
            <a:solidFill>
              <a:srgbClr val="00B0F0"/>
            </a:solidFill>
            <a:ln>
              <a:noFill/>
            </a:ln>
            <a:effectLst/>
          </c:spPr>
          <c:invertIfNegative val="0"/>
          <c:cat>
            <c:strRef>
              <c:f>'Budget Summary'!$C$117:$N$117</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f>'Budget Summary'!$C$118:$N$118</c:f>
              <c:numCache>
                <c:formatCode>_ * #,##0_ ;_ * \-#,##0_ ;_ * "-"??_ ;_ @_ </c:formatCode>
                <c:ptCount val="12"/>
                <c:pt idx="0">
                  <c:v>14400</c:v>
                </c:pt>
                <c:pt idx="1">
                  <c:v>13500</c:v>
                </c:pt>
                <c:pt idx="2">
                  <c:v>14200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66C0-4A03-B2CC-2037978A2736}"/>
            </c:ext>
          </c:extLst>
        </c:ser>
        <c:ser>
          <c:idx val="1"/>
          <c:order val="1"/>
          <c:tx>
            <c:strRef>
              <c:f>'Budget Summary'!$B$119</c:f>
              <c:strCache>
                <c:ptCount val="1"/>
                <c:pt idx="0">
                  <c:v>Total Expenses</c:v>
                </c:pt>
              </c:strCache>
            </c:strRef>
          </c:tx>
          <c:spPr>
            <a:solidFill>
              <a:schemeClr val="accent2"/>
            </a:solidFill>
            <a:ln>
              <a:noFill/>
            </a:ln>
            <a:effectLst/>
          </c:spPr>
          <c:invertIfNegative val="0"/>
          <c:cat>
            <c:strRef>
              <c:f>'Budget Summary'!$C$117:$N$117</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f>'Budget Summary'!$C$119:$N$119</c:f>
              <c:numCache>
                <c:formatCode>_ * #,##0_ ;_ * \-#,##0_ ;_ * "-"??_ ;_ @_ </c:formatCode>
                <c:ptCount val="12"/>
                <c:pt idx="0">
                  <c:v>8280</c:v>
                </c:pt>
                <c:pt idx="1">
                  <c:v>6500</c:v>
                </c:pt>
                <c:pt idx="2">
                  <c:v>5920</c:v>
                </c:pt>
                <c:pt idx="3">
                  <c:v>4360</c:v>
                </c:pt>
                <c:pt idx="4">
                  <c:v>460</c:v>
                </c:pt>
                <c:pt idx="5">
                  <c:v>1700</c:v>
                </c:pt>
                <c:pt idx="6">
                  <c:v>800</c:v>
                </c:pt>
                <c:pt idx="7">
                  <c:v>0</c:v>
                </c:pt>
                <c:pt idx="8">
                  <c:v>0</c:v>
                </c:pt>
                <c:pt idx="9">
                  <c:v>0</c:v>
                </c:pt>
                <c:pt idx="10">
                  <c:v>0</c:v>
                </c:pt>
                <c:pt idx="11">
                  <c:v>700</c:v>
                </c:pt>
              </c:numCache>
            </c:numRef>
          </c:val>
          <c:extLst>
            <c:ext xmlns:c16="http://schemas.microsoft.com/office/drawing/2014/chart" uri="{C3380CC4-5D6E-409C-BE32-E72D297353CC}">
              <c16:uniqueId val="{00000001-66C0-4A03-B2CC-2037978A2736}"/>
            </c:ext>
          </c:extLst>
        </c:ser>
        <c:ser>
          <c:idx val="2"/>
          <c:order val="2"/>
          <c:tx>
            <c:strRef>
              <c:f>'Budget Summary'!$B$120</c:f>
              <c:strCache>
                <c:ptCount val="1"/>
                <c:pt idx="0">
                  <c:v>Surplus (Deficit)</c:v>
                </c:pt>
              </c:strCache>
            </c:strRef>
          </c:tx>
          <c:spPr>
            <a:solidFill>
              <a:srgbClr val="00B050"/>
            </a:solidFill>
            <a:ln>
              <a:noFill/>
            </a:ln>
            <a:effectLst/>
          </c:spPr>
          <c:invertIfNegative val="0"/>
          <c:cat>
            <c:strRef>
              <c:f>'Budget Summary'!$C$117:$N$117</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f>'Budget Summary'!$C$120:$N$120</c:f>
              <c:numCache>
                <c:formatCode>_ * #,##0_ ;_ * \-#,##0_ ;_ * "-"??_ ;_ @_ </c:formatCode>
                <c:ptCount val="12"/>
                <c:pt idx="0">
                  <c:v>6120</c:v>
                </c:pt>
                <c:pt idx="1">
                  <c:v>7000</c:v>
                </c:pt>
                <c:pt idx="2">
                  <c:v>8280</c:v>
                </c:pt>
                <c:pt idx="3">
                  <c:v>-4360</c:v>
                </c:pt>
                <c:pt idx="4">
                  <c:v>-460</c:v>
                </c:pt>
                <c:pt idx="5">
                  <c:v>-1700</c:v>
                </c:pt>
                <c:pt idx="6">
                  <c:v>-800</c:v>
                </c:pt>
                <c:pt idx="7">
                  <c:v>0</c:v>
                </c:pt>
                <c:pt idx="8">
                  <c:v>0</c:v>
                </c:pt>
                <c:pt idx="9">
                  <c:v>0</c:v>
                </c:pt>
                <c:pt idx="10">
                  <c:v>0</c:v>
                </c:pt>
                <c:pt idx="11">
                  <c:v>-700</c:v>
                </c:pt>
              </c:numCache>
            </c:numRef>
          </c:val>
          <c:extLst>
            <c:ext xmlns:c16="http://schemas.microsoft.com/office/drawing/2014/chart" uri="{C3380CC4-5D6E-409C-BE32-E72D297353CC}">
              <c16:uniqueId val="{00000002-66C0-4A03-B2CC-2037978A2736}"/>
            </c:ext>
          </c:extLst>
        </c:ser>
        <c:dLbls>
          <c:showLegendKey val="0"/>
          <c:showVal val="0"/>
          <c:showCatName val="0"/>
          <c:showSerName val="0"/>
          <c:showPercent val="0"/>
          <c:showBubbleSize val="0"/>
        </c:dLbls>
        <c:gapWidth val="219"/>
        <c:overlap val="-27"/>
        <c:axId val="756484464"/>
        <c:axId val="756486384"/>
      </c:barChart>
      <c:catAx>
        <c:axId val="756484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85000"/>
                    <a:lumOff val="15000"/>
                  </a:schemeClr>
                </a:solidFill>
                <a:latin typeface="Arial" panose="020B0604020202020204" pitchFamily="34" charset="0"/>
                <a:ea typeface="+mn-ea"/>
                <a:cs typeface="Arial" panose="020B0604020202020204" pitchFamily="34" charset="0"/>
              </a:defRPr>
            </a:pPr>
            <a:endParaRPr lang="en-US"/>
          </a:p>
        </c:txPr>
        <c:crossAx val="756486384"/>
        <c:crosses val="autoZero"/>
        <c:auto val="1"/>
        <c:lblAlgn val="ctr"/>
        <c:lblOffset val="100"/>
        <c:noMultiLvlLbl val="0"/>
      </c:catAx>
      <c:valAx>
        <c:axId val="756486384"/>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85000"/>
                    <a:lumOff val="15000"/>
                  </a:schemeClr>
                </a:solidFill>
                <a:latin typeface="Arial" panose="020B0604020202020204" pitchFamily="34" charset="0"/>
                <a:ea typeface="+mn-ea"/>
                <a:cs typeface="Arial" panose="020B0604020202020204" pitchFamily="34" charset="0"/>
              </a:defRPr>
            </a:pPr>
            <a:endParaRPr lang="en-US"/>
          </a:p>
        </c:txPr>
        <c:crossAx val="7564844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85000"/>
                  <a:lumOff val="15000"/>
                </a:schemeClr>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solidFill>
            <a:schemeClr val="tx1">
              <a:lumMod val="85000"/>
              <a:lumOff val="15000"/>
            </a:schemeClr>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95000"/>
                    <a:lumOff val="5000"/>
                  </a:schemeClr>
                </a:solidFill>
                <a:latin typeface="Arial" panose="020B0604020202020204" pitchFamily="34" charset="0"/>
                <a:ea typeface="+mn-ea"/>
                <a:cs typeface="Arial" panose="020B0604020202020204" pitchFamily="34" charset="0"/>
              </a:defRPr>
            </a:pPr>
            <a:r>
              <a:rPr lang="en-IN">
                <a:solidFill>
                  <a:schemeClr val="tx1">
                    <a:lumMod val="95000"/>
                    <a:lumOff val="5000"/>
                  </a:schemeClr>
                </a:solidFill>
              </a:rPr>
              <a:t>Total Payments Annual Summary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95000"/>
                  <a:lumOff val="5000"/>
                </a:schemeClr>
              </a:solidFill>
              <a:latin typeface="Arial" panose="020B0604020202020204" pitchFamily="34" charset="0"/>
              <a:ea typeface="+mn-ea"/>
              <a:cs typeface="Arial" panose="020B0604020202020204" pitchFamily="34" charset="0"/>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Pt>
            <c:idx val="1"/>
            <c:invertIfNegative val="0"/>
            <c:bubble3D val="0"/>
            <c:spPr>
              <a:solidFill>
                <a:schemeClr val="accent4">
                  <a:lumMod val="75000"/>
                </a:schemeClr>
              </a:solidFill>
              <a:ln>
                <a:noFill/>
              </a:ln>
              <a:effectLst/>
            </c:spPr>
            <c:extLst>
              <c:ext xmlns:c16="http://schemas.microsoft.com/office/drawing/2014/chart" uri="{C3380CC4-5D6E-409C-BE32-E72D297353CC}">
                <c16:uniqueId val="{00000001-BA6B-46AE-B69A-02CDFFE7EFB1}"/>
              </c:ext>
            </c:extLst>
          </c:dPt>
          <c:dPt>
            <c:idx val="2"/>
            <c:invertIfNegative val="0"/>
            <c:bubble3D val="0"/>
            <c:spPr>
              <a:solidFill>
                <a:schemeClr val="accent6">
                  <a:lumMod val="75000"/>
                </a:schemeClr>
              </a:solidFill>
              <a:ln>
                <a:noFill/>
              </a:ln>
              <a:effectLst/>
            </c:spPr>
            <c:extLst>
              <c:ext xmlns:c16="http://schemas.microsoft.com/office/drawing/2014/chart" uri="{C3380CC4-5D6E-409C-BE32-E72D297353CC}">
                <c16:uniqueId val="{00000003-BA6B-46AE-B69A-02CDFFE7EFB1}"/>
              </c:ext>
            </c:extLst>
          </c:dPt>
          <c:dPt>
            <c:idx val="3"/>
            <c:invertIfNegative val="0"/>
            <c:bubble3D val="0"/>
            <c:spPr>
              <a:solidFill>
                <a:schemeClr val="accent2">
                  <a:lumMod val="75000"/>
                </a:schemeClr>
              </a:solidFill>
              <a:ln>
                <a:noFill/>
              </a:ln>
              <a:effectLst/>
            </c:spPr>
            <c:extLst>
              <c:ext xmlns:c16="http://schemas.microsoft.com/office/drawing/2014/chart" uri="{C3380CC4-5D6E-409C-BE32-E72D297353CC}">
                <c16:uniqueId val="{00000005-BA6B-46AE-B69A-02CDFFE7EFB1}"/>
              </c:ext>
            </c:extLst>
          </c:dPt>
          <c:dPt>
            <c:idx val="4"/>
            <c:invertIfNegative val="0"/>
            <c:bubble3D val="0"/>
            <c:spPr>
              <a:solidFill>
                <a:srgbClr val="0070C0"/>
              </a:solidFill>
              <a:ln>
                <a:noFill/>
              </a:ln>
              <a:effectLst/>
            </c:spPr>
            <c:extLst>
              <c:ext xmlns:c16="http://schemas.microsoft.com/office/drawing/2014/chart" uri="{C3380CC4-5D6E-409C-BE32-E72D297353CC}">
                <c16:uniqueId val="{00000007-BA6B-46AE-B69A-02CDFFE7EFB1}"/>
              </c:ext>
            </c:extLst>
          </c:dPt>
          <c:dPt>
            <c:idx val="5"/>
            <c:invertIfNegative val="0"/>
            <c:bubble3D val="0"/>
            <c:spPr>
              <a:solidFill>
                <a:schemeClr val="tx1">
                  <a:lumMod val="50000"/>
                  <a:lumOff val="50000"/>
                </a:schemeClr>
              </a:solidFill>
              <a:ln>
                <a:noFill/>
              </a:ln>
              <a:effectLst/>
            </c:spPr>
            <c:extLst>
              <c:ext xmlns:c16="http://schemas.microsoft.com/office/drawing/2014/chart" uri="{C3380CC4-5D6E-409C-BE32-E72D297353CC}">
                <c16:uniqueId val="{00000009-BA6B-46AE-B69A-02CDFFE7EFB1}"/>
              </c:ext>
            </c:extLst>
          </c:dPt>
          <c:dPt>
            <c:idx val="6"/>
            <c:invertIfNegative val="0"/>
            <c:bubble3D val="0"/>
            <c:spPr>
              <a:solidFill>
                <a:schemeClr val="accent5">
                  <a:lumMod val="75000"/>
                </a:schemeClr>
              </a:solidFill>
              <a:ln>
                <a:noFill/>
              </a:ln>
              <a:effectLst/>
            </c:spPr>
            <c:extLst>
              <c:ext xmlns:c16="http://schemas.microsoft.com/office/drawing/2014/chart" uri="{C3380CC4-5D6E-409C-BE32-E72D297353CC}">
                <c16:uniqueId val="{0000000B-BA6B-46AE-B69A-02CDFFE7EFB1}"/>
              </c:ext>
            </c:extLst>
          </c:dPt>
          <c:dPt>
            <c:idx val="7"/>
            <c:invertIfNegative val="0"/>
            <c:bubble3D val="0"/>
            <c:spPr>
              <a:solidFill>
                <a:srgbClr val="FFC000"/>
              </a:solidFill>
              <a:ln>
                <a:noFill/>
              </a:ln>
              <a:effectLst/>
            </c:spPr>
            <c:extLst>
              <c:ext xmlns:c16="http://schemas.microsoft.com/office/drawing/2014/chart" uri="{C3380CC4-5D6E-409C-BE32-E72D297353CC}">
                <c16:uniqueId val="{0000000D-BA6B-46AE-B69A-02CDFFE7EFB1}"/>
              </c:ext>
            </c:extLst>
          </c:dPt>
          <c:dPt>
            <c:idx val="8"/>
            <c:invertIfNegative val="0"/>
            <c:bubble3D val="0"/>
            <c:spPr>
              <a:solidFill>
                <a:srgbClr val="00B0F0"/>
              </a:solidFill>
              <a:ln>
                <a:noFill/>
              </a:ln>
              <a:effectLst/>
            </c:spPr>
            <c:extLst>
              <c:ext xmlns:c16="http://schemas.microsoft.com/office/drawing/2014/chart" uri="{C3380CC4-5D6E-409C-BE32-E72D297353CC}">
                <c16:uniqueId val="{0000000F-BA6B-46AE-B69A-02CDFFE7EFB1}"/>
              </c:ext>
            </c:extLst>
          </c:dPt>
          <c:dPt>
            <c:idx val="9"/>
            <c:invertIfNegative val="0"/>
            <c:bubble3D val="0"/>
            <c:spPr>
              <a:solidFill>
                <a:srgbClr val="01796F"/>
              </a:solidFill>
              <a:ln>
                <a:noFill/>
              </a:ln>
              <a:effectLst/>
            </c:spPr>
            <c:extLst>
              <c:ext xmlns:c16="http://schemas.microsoft.com/office/drawing/2014/chart" uri="{C3380CC4-5D6E-409C-BE32-E72D297353CC}">
                <c16:uniqueId val="{00000011-BA6B-46AE-B69A-02CDFFE7EFB1}"/>
              </c:ext>
            </c:extLst>
          </c:dPt>
          <c:dPt>
            <c:idx val="10"/>
            <c:invertIfNegative val="0"/>
            <c:bubble3D val="0"/>
            <c:spPr>
              <a:solidFill>
                <a:srgbClr val="C00000"/>
              </a:solidFill>
              <a:ln>
                <a:noFill/>
              </a:ln>
              <a:effectLst/>
            </c:spPr>
            <c:extLst>
              <c:ext xmlns:c16="http://schemas.microsoft.com/office/drawing/2014/chart" uri="{C3380CC4-5D6E-409C-BE32-E72D297353CC}">
                <c16:uniqueId val="{00000013-BA6B-46AE-B69A-02CDFFE7EFB1}"/>
              </c:ext>
            </c:extLst>
          </c:dPt>
          <c:dPt>
            <c:idx val="11"/>
            <c:invertIfNegative val="0"/>
            <c:bubble3D val="0"/>
            <c:spPr>
              <a:solidFill>
                <a:srgbClr val="7030A0"/>
              </a:solidFill>
              <a:ln>
                <a:noFill/>
              </a:ln>
              <a:effectLst/>
            </c:spPr>
            <c:extLst>
              <c:ext xmlns:c16="http://schemas.microsoft.com/office/drawing/2014/chart" uri="{C3380CC4-5D6E-409C-BE32-E72D297353CC}">
                <c16:uniqueId val="{00000015-BA6B-46AE-B69A-02CDFFE7EFB1}"/>
              </c:ext>
            </c:extLst>
          </c:dPt>
          <c:dPt>
            <c:idx val="12"/>
            <c:invertIfNegative val="0"/>
            <c:bubble3D val="0"/>
            <c:spPr>
              <a:solidFill>
                <a:schemeClr val="tx2">
                  <a:lumMod val="60000"/>
                  <a:lumOff val="40000"/>
                </a:schemeClr>
              </a:solidFill>
              <a:ln>
                <a:noFill/>
              </a:ln>
              <a:effectLst/>
            </c:spPr>
            <c:extLst>
              <c:ext xmlns:c16="http://schemas.microsoft.com/office/drawing/2014/chart" uri="{C3380CC4-5D6E-409C-BE32-E72D297353CC}">
                <c16:uniqueId val="{00000017-BA6B-46AE-B69A-02CDFFE7EFB1}"/>
              </c:ext>
            </c:extLst>
          </c:dPt>
          <c:cat>
            <c:strRef>
              <c:f>'Budget Summary'!$B$123:$B$135</c:f>
              <c:strCache>
                <c:ptCount val="13"/>
                <c:pt idx="0">
                  <c:v>HOME EXPENSES</c:v>
                </c:pt>
                <c:pt idx="1">
                  <c:v>TRANSPORTATION</c:v>
                </c:pt>
                <c:pt idx="2">
                  <c:v>HEALTH</c:v>
                </c:pt>
                <c:pt idx="3">
                  <c:v>CHARITY / GIFTS</c:v>
                </c:pt>
                <c:pt idx="4">
                  <c:v>DAILY LIVING</c:v>
                </c:pt>
                <c:pt idx="5">
                  <c:v>CHILDREN EXPENSES</c:v>
                </c:pt>
                <c:pt idx="6">
                  <c:v>ENTERTAINMENT</c:v>
                </c:pt>
                <c:pt idx="7">
                  <c:v>SAVINGS</c:v>
                </c:pt>
                <c:pt idx="8">
                  <c:v>DEBT REPAYMENTS</c:v>
                </c:pt>
                <c:pt idx="9">
                  <c:v>OBLIGATIONS</c:v>
                </c:pt>
                <c:pt idx="10">
                  <c:v>PROPERTY/ ASSETS</c:v>
                </c:pt>
                <c:pt idx="11">
                  <c:v>SUBSCRIPTIONS</c:v>
                </c:pt>
                <c:pt idx="12">
                  <c:v>MISCELLANEOUS</c:v>
                </c:pt>
              </c:strCache>
            </c:strRef>
          </c:cat>
          <c:val>
            <c:numRef>
              <c:f>'Budget Summary'!$C$123:$C$135</c:f>
              <c:numCache>
                <c:formatCode>_ * #,##0_ ;_ * \-#,##0_ ;_ * "-"??_ ;_ @_ </c:formatCode>
                <c:ptCount val="13"/>
                <c:pt idx="0">
                  <c:v>2100</c:v>
                </c:pt>
                <c:pt idx="1">
                  <c:v>370</c:v>
                </c:pt>
                <c:pt idx="2">
                  <c:v>580</c:v>
                </c:pt>
                <c:pt idx="3">
                  <c:v>550</c:v>
                </c:pt>
                <c:pt idx="4">
                  <c:v>3450</c:v>
                </c:pt>
                <c:pt idx="5">
                  <c:v>900</c:v>
                </c:pt>
                <c:pt idx="6">
                  <c:v>400</c:v>
                </c:pt>
                <c:pt idx="7">
                  <c:v>5500</c:v>
                </c:pt>
                <c:pt idx="8">
                  <c:v>9500</c:v>
                </c:pt>
                <c:pt idx="9">
                  <c:v>2900</c:v>
                </c:pt>
                <c:pt idx="10">
                  <c:v>1320</c:v>
                </c:pt>
                <c:pt idx="11">
                  <c:v>450</c:v>
                </c:pt>
                <c:pt idx="12">
                  <c:v>700</c:v>
                </c:pt>
              </c:numCache>
            </c:numRef>
          </c:val>
          <c:extLst>
            <c:ext xmlns:c16="http://schemas.microsoft.com/office/drawing/2014/chart" uri="{C3380CC4-5D6E-409C-BE32-E72D297353CC}">
              <c16:uniqueId val="{00000018-BA6B-46AE-B69A-02CDFFE7EFB1}"/>
            </c:ext>
          </c:extLst>
        </c:ser>
        <c:dLbls>
          <c:showLegendKey val="0"/>
          <c:showVal val="0"/>
          <c:showCatName val="0"/>
          <c:showSerName val="0"/>
          <c:showPercent val="0"/>
          <c:showBubbleSize val="0"/>
        </c:dLbls>
        <c:gapWidth val="98"/>
        <c:overlap val="-27"/>
        <c:axId val="899114512"/>
        <c:axId val="899125072"/>
      </c:barChart>
      <c:catAx>
        <c:axId val="899114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85000"/>
                    <a:lumOff val="15000"/>
                  </a:schemeClr>
                </a:solidFill>
                <a:latin typeface="Arial" panose="020B0604020202020204" pitchFamily="34" charset="0"/>
                <a:ea typeface="+mn-ea"/>
                <a:cs typeface="Arial" panose="020B0604020202020204" pitchFamily="34" charset="0"/>
              </a:defRPr>
            </a:pPr>
            <a:endParaRPr lang="en-US"/>
          </a:p>
        </c:txPr>
        <c:crossAx val="899125072"/>
        <c:crosses val="autoZero"/>
        <c:auto val="1"/>
        <c:lblAlgn val="ctr"/>
        <c:lblOffset val="100"/>
        <c:noMultiLvlLbl val="0"/>
      </c:catAx>
      <c:valAx>
        <c:axId val="899125072"/>
        <c:scaling>
          <c:orientation val="minMax"/>
        </c:scaling>
        <c:delete val="0"/>
        <c:axPos val="l"/>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crossAx val="89911451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solidFill>
            <a:schemeClr val="tx1">
              <a:lumMod val="95000"/>
              <a:lumOff val="5000"/>
            </a:schemeClr>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'Budget Summary'!$F$48</c:f>
              <c:strCache>
                <c:ptCount val="1"/>
                <c:pt idx="0">
                  <c:v>%</c:v>
                </c:pt>
              </c:strCache>
            </c:strRef>
          </c:tx>
          <c:dPt>
            <c:idx val="0"/>
            <c:bubble3D val="0"/>
            <c:spPr>
              <a:solidFill>
                <a:srgbClr val="01796F"/>
              </a:solidFill>
              <a:ln w="19050">
                <a:solidFill>
                  <a:schemeClr val="lt1"/>
                </a:solidFill>
              </a:ln>
              <a:effectLst/>
            </c:spPr>
            <c:extLst>
              <c:ext xmlns:c16="http://schemas.microsoft.com/office/drawing/2014/chart" uri="{C3380CC4-5D6E-409C-BE32-E72D297353CC}">
                <c16:uniqueId val="{00000002-709B-474C-AFC1-C5131F828EF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4-709B-474C-AFC1-C5131F828EF0}"/>
              </c:ext>
            </c:extLst>
          </c:dPt>
          <c:dPt>
            <c:idx val="2"/>
            <c:bubble3D val="0"/>
            <c:spPr>
              <a:solidFill>
                <a:srgbClr val="00B0F0"/>
              </a:solidFill>
              <a:ln w="19050">
                <a:solidFill>
                  <a:schemeClr val="lt1"/>
                </a:solidFill>
              </a:ln>
              <a:effectLst/>
            </c:spPr>
            <c:extLst>
              <c:ext xmlns:c16="http://schemas.microsoft.com/office/drawing/2014/chart" uri="{C3380CC4-5D6E-409C-BE32-E72D297353CC}">
                <c16:uniqueId val="{00000003-709B-474C-AFC1-C5131F828EF0}"/>
              </c:ext>
            </c:extLst>
          </c:dPt>
          <c:dLbls>
            <c:dLbl>
              <c:idx val="0"/>
              <c:layout>
                <c:manualLayout>
                  <c:x val="-0.12282554981855692"/>
                  <c:y val="-0.14231301795936926"/>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09B-474C-AFC1-C5131F828EF0}"/>
                </c:ext>
              </c:extLst>
            </c:dLbl>
            <c:dLbl>
              <c:idx val="1"/>
              <c:layout>
                <c:manualLayout>
                  <c:x val="0.10965787810583399"/>
                  <c:y val="-1.6320499307665329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09B-474C-AFC1-C5131F828EF0}"/>
                </c:ext>
              </c:extLst>
            </c:dLbl>
            <c:dLbl>
              <c:idx val="2"/>
              <c:layout>
                <c:manualLayout>
                  <c:x val="8.7161712913183462E-2"/>
                  <c:y val="0.13899683799367599"/>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09B-474C-AFC1-C5131F828EF0}"/>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bg1"/>
                    </a:solidFill>
                    <a:latin typeface="Arial" panose="020B0604020202020204" pitchFamily="34" charset="0"/>
                    <a:ea typeface="+mn-ea"/>
                    <a:cs typeface="Arial" panose="020B0604020202020204" pitchFamily="34" charset="0"/>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'Budget Summary'!$C$49:$D$51</c:f>
              <c:strCache>
                <c:ptCount val="3"/>
                <c:pt idx="0">
                  <c:v>Needs</c:v>
                </c:pt>
                <c:pt idx="1">
                  <c:v>Wants</c:v>
                </c:pt>
                <c:pt idx="2">
                  <c:v>Savings</c:v>
                </c:pt>
              </c:strCache>
            </c:strRef>
          </c:cat>
          <c:val>
            <c:numRef>
              <c:f>'Budget Summary'!$F$49:$F$51</c:f>
              <c:numCache>
                <c:formatCode>0%</c:formatCode>
                <c:ptCount val="3"/>
                <c:pt idx="0">
                  <c:v>0.66155988857938719</c:v>
                </c:pt>
                <c:pt idx="1">
                  <c:v>0.14693593314763231</c:v>
                </c:pt>
                <c:pt idx="2">
                  <c:v>0.1915041782729805</c:v>
                </c:pt>
              </c:numCache>
            </c:numRef>
          </c:val>
          <c:extLst>
            <c:ext xmlns:c16="http://schemas.microsoft.com/office/drawing/2014/chart" uri="{C3380CC4-5D6E-409C-BE32-E72D297353CC}">
              <c16:uniqueId val="{00000000-709B-474C-AFC1-C5131F828EF0}"/>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b"/>
      <c:layout>
        <c:manualLayout>
          <c:xMode val="edge"/>
          <c:yMode val="edge"/>
          <c:x val="0.30835048287383732"/>
          <c:y val="0.82299325352827313"/>
          <c:w val="0.39984512527459071"/>
          <c:h val="8.6109111361079863E-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85000"/>
                  <a:lumOff val="1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hyperlink" Target="https://glimmarket.com/personal-finance/budgeting-and-saving/" TargetMode="External"/><Relationship Id="rId7" Type="http://schemas.openxmlformats.org/officeDocument/2006/relationships/image" Target="../media/image1.png"/><Relationship Id="rId2" Type="http://schemas.openxmlformats.org/officeDocument/2006/relationships/hyperlink" Target="https://glimmarket.com/personal-finance/" TargetMode="External"/><Relationship Id="rId1" Type="http://schemas.openxmlformats.org/officeDocument/2006/relationships/hyperlink" Target="https://glimmarket.com/loans/small-business/business-line-of-credit-2025/" TargetMode="External"/><Relationship Id="rId6" Type="http://schemas.openxmlformats.org/officeDocument/2006/relationships/hyperlink" Target="https://glimmarket.com/" TargetMode="External"/><Relationship Id="rId5" Type="http://schemas.openxmlformats.org/officeDocument/2006/relationships/hyperlink" Target="https://glimmarket.com/credit-cards/" TargetMode="External"/><Relationship Id="rId4" Type="http://schemas.openxmlformats.org/officeDocument/2006/relationships/hyperlink" Target="https://glimmarket.com/personal-finance/credit-debt-management/"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www.glimmarket.com/"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https://glimmarket.com/" TargetMode="External"/><Relationship Id="rId1" Type="http://schemas.openxmlformats.org/officeDocument/2006/relationships/chart" Target="../charts/chart1.xml"/><Relationship Id="rId5" Type="http://schemas.openxmlformats.org/officeDocument/2006/relationships/chart" Target="../charts/chart3.xml"/><Relationship Id="rId4" Type="http://schemas.openxmlformats.org/officeDocument/2006/relationships/chart" Target="../charts/chart2.xml"/></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https://glimmarket.com/" TargetMode="Externa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xdr:col>
      <xdr:colOff>381000</xdr:colOff>
      <xdr:row>11</xdr:row>
      <xdr:rowOff>139700</xdr:rowOff>
    </xdr:from>
    <xdr:to>
      <xdr:col>5</xdr:col>
      <xdr:colOff>167400</xdr:colOff>
      <xdr:row>11</xdr:row>
      <xdr:rowOff>139700</xdr:rowOff>
    </xdr:to>
    <xdr:cxnSp macro="">
      <xdr:nvCxnSpPr>
        <xdr:cNvPr id="2" name="Straight Arrow Connector 1">
          <a:extLst>
            <a:ext uri="{FF2B5EF4-FFF2-40B4-BE49-F238E27FC236}">
              <a16:creationId xmlns:a16="http://schemas.microsoft.com/office/drawing/2014/main" id="{0F483B62-E1C3-4482-BAB9-BAC2D9C5316D}"/>
            </a:ext>
          </a:extLst>
        </xdr:cNvPr>
        <xdr:cNvCxnSpPr/>
      </xdr:nvCxnSpPr>
      <xdr:spPr>
        <a:xfrm>
          <a:off x="2298700" y="2508250"/>
          <a:ext cx="396000" cy="0"/>
        </a:xfrm>
        <a:prstGeom prst="straightConnector1">
          <a:avLst/>
        </a:prstGeom>
        <a:ln>
          <a:solidFill>
            <a:srgbClr val="00206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234950</xdr:colOff>
      <xdr:row>15</xdr:row>
      <xdr:rowOff>146050</xdr:rowOff>
    </xdr:from>
    <xdr:to>
      <xdr:col>1</xdr:col>
      <xdr:colOff>234950</xdr:colOff>
      <xdr:row>22</xdr:row>
      <xdr:rowOff>17450</xdr:rowOff>
    </xdr:to>
    <xdr:cxnSp macro="">
      <xdr:nvCxnSpPr>
        <xdr:cNvPr id="3" name="Straight Connector 2">
          <a:extLst>
            <a:ext uri="{FF2B5EF4-FFF2-40B4-BE49-F238E27FC236}">
              <a16:creationId xmlns:a16="http://schemas.microsoft.com/office/drawing/2014/main" id="{C0D4D338-9ACB-419C-8A2C-505A737F3591}"/>
            </a:ext>
          </a:extLst>
        </xdr:cNvPr>
        <xdr:cNvCxnSpPr/>
      </xdr:nvCxnSpPr>
      <xdr:spPr>
        <a:xfrm>
          <a:off x="596900" y="4933950"/>
          <a:ext cx="0" cy="1116000"/>
        </a:xfrm>
        <a:prstGeom prst="line">
          <a:avLst/>
        </a:prstGeom>
        <a:ln w="19050">
          <a:solidFill>
            <a:srgbClr val="00B0F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69850</xdr:colOff>
      <xdr:row>5</xdr:row>
      <xdr:rowOff>95250</xdr:rowOff>
    </xdr:from>
    <xdr:to>
      <xdr:col>15</xdr:col>
      <xdr:colOff>560650</xdr:colOff>
      <xdr:row>7</xdr:row>
      <xdr:rowOff>241300</xdr:rowOff>
    </xdr:to>
    <xdr:grpSp>
      <xdr:nvGrpSpPr>
        <xdr:cNvPr id="4" name="Group 3">
          <a:hlinkClick xmlns:r="http://schemas.openxmlformats.org/officeDocument/2006/relationships" r:id="rId1"/>
          <a:extLst>
            <a:ext uri="{FF2B5EF4-FFF2-40B4-BE49-F238E27FC236}">
              <a16:creationId xmlns:a16="http://schemas.microsoft.com/office/drawing/2014/main" id="{14CC6C0D-3553-4474-86A9-3B787DB7CC98}"/>
            </a:ext>
          </a:extLst>
        </xdr:cNvPr>
        <xdr:cNvGrpSpPr/>
      </xdr:nvGrpSpPr>
      <xdr:grpSpPr>
        <a:xfrm>
          <a:off x="6559550" y="1041400"/>
          <a:ext cx="1710000" cy="654050"/>
          <a:chOff x="6559550" y="1193800"/>
          <a:chExt cx="1657350" cy="654050"/>
        </a:xfrm>
      </xdr:grpSpPr>
      <xdr:sp macro="" textlink="">
        <xdr:nvSpPr>
          <xdr:cNvPr id="5" name="Rectangle: Rounded Corners 4">
            <a:extLst>
              <a:ext uri="{FF2B5EF4-FFF2-40B4-BE49-F238E27FC236}">
                <a16:creationId xmlns:a16="http://schemas.microsoft.com/office/drawing/2014/main" id="{1C94DFF6-3174-FC5E-3D32-BEC51D4B0CA6}"/>
              </a:ext>
            </a:extLst>
          </xdr:cNvPr>
          <xdr:cNvSpPr/>
        </xdr:nvSpPr>
        <xdr:spPr>
          <a:xfrm>
            <a:off x="6559550" y="1193800"/>
            <a:ext cx="1657350" cy="654050"/>
          </a:xfrm>
          <a:prstGeom prst="roundRect">
            <a:avLst/>
          </a:prstGeom>
          <a:solidFill>
            <a:srgbClr val="00206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400">
              <a:latin typeface="Aptos" panose="020B0004020202020204" pitchFamily="34" charset="0"/>
            </a:endParaRPr>
          </a:p>
        </xdr:txBody>
      </xdr:sp>
      <xdr:sp macro="" textlink="">
        <xdr:nvSpPr>
          <xdr:cNvPr id="6" name="TextBox 5">
            <a:extLst>
              <a:ext uri="{FF2B5EF4-FFF2-40B4-BE49-F238E27FC236}">
                <a16:creationId xmlns:a16="http://schemas.microsoft.com/office/drawing/2014/main" id="{2DB2ED35-FA88-FD6B-303F-18117374F8E1}"/>
              </a:ext>
            </a:extLst>
          </xdr:cNvPr>
          <xdr:cNvSpPr txBox="1"/>
        </xdr:nvSpPr>
        <xdr:spPr>
          <a:xfrm>
            <a:off x="6616700" y="1257300"/>
            <a:ext cx="1593850" cy="527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IN" sz="1300" b="1">
                <a:solidFill>
                  <a:srgbClr val="FFFF00"/>
                </a:solidFill>
                <a:effectLst/>
                <a:latin typeface="Aptos" panose="020B0004020202020204" pitchFamily="34" charset="0"/>
                <a:ea typeface="+mn-ea"/>
                <a:cs typeface="+mn-cs"/>
              </a:rPr>
              <a:t>Business Line of Credit</a:t>
            </a:r>
            <a:endParaRPr lang="en-IN" sz="1300" b="1">
              <a:solidFill>
                <a:srgbClr val="FFFF00"/>
              </a:solidFill>
              <a:effectLst/>
              <a:latin typeface="Aptos" panose="020B0004020202020204" pitchFamily="34" charset="0"/>
            </a:endParaRPr>
          </a:p>
        </xdr:txBody>
      </xdr:sp>
    </xdr:grpSp>
    <xdr:clientData/>
  </xdr:twoCellAnchor>
  <xdr:twoCellAnchor>
    <xdr:from>
      <xdr:col>16</xdr:col>
      <xdr:colOff>82550</xdr:colOff>
      <xdr:row>5</xdr:row>
      <xdr:rowOff>95250</xdr:rowOff>
    </xdr:from>
    <xdr:to>
      <xdr:col>18</xdr:col>
      <xdr:colOff>573350</xdr:colOff>
      <xdr:row>7</xdr:row>
      <xdr:rowOff>241300</xdr:rowOff>
    </xdr:to>
    <xdr:grpSp>
      <xdr:nvGrpSpPr>
        <xdr:cNvPr id="7" name="Group 6">
          <a:hlinkClick xmlns:r="http://schemas.openxmlformats.org/officeDocument/2006/relationships" r:id="rId2"/>
          <a:extLst>
            <a:ext uri="{FF2B5EF4-FFF2-40B4-BE49-F238E27FC236}">
              <a16:creationId xmlns:a16="http://schemas.microsoft.com/office/drawing/2014/main" id="{917A464D-4DF8-4A4F-9534-0ECCEB864666}"/>
            </a:ext>
          </a:extLst>
        </xdr:cNvPr>
        <xdr:cNvGrpSpPr/>
      </xdr:nvGrpSpPr>
      <xdr:grpSpPr>
        <a:xfrm>
          <a:off x="8401050" y="1041400"/>
          <a:ext cx="1710000" cy="654050"/>
          <a:chOff x="6559550" y="1193800"/>
          <a:chExt cx="1657350" cy="654050"/>
        </a:xfrm>
      </xdr:grpSpPr>
      <xdr:sp macro="" textlink="">
        <xdr:nvSpPr>
          <xdr:cNvPr id="8" name="Rectangle: Rounded Corners 7">
            <a:extLst>
              <a:ext uri="{FF2B5EF4-FFF2-40B4-BE49-F238E27FC236}">
                <a16:creationId xmlns:a16="http://schemas.microsoft.com/office/drawing/2014/main" id="{5D2C937A-4F58-C3F2-4ACF-3B7297B702F4}"/>
              </a:ext>
            </a:extLst>
          </xdr:cNvPr>
          <xdr:cNvSpPr/>
        </xdr:nvSpPr>
        <xdr:spPr>
          <a:xfrm>
            <a:off x="6559550" y="1193800"/>
            <a:ext cx="1657350" cy="654050"/>
          </a:xfrm>
          <a:prstGeom prst="roundRect">
            <a:avLst/>
          </a:prstGeom>
          <a:solidFill>
            <a:srgbClr val="00206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400">
              <a:latin typeface="Aptos" panose="020B0004020202020204" pitchFamily="34" charset="0"/>
            </a:endParaRPr>
          </a:p>
        </xdr:txBody>
      </xdr:sp>
      <xdr:sp macro="" textlink="">
        <xdr:nvSpPr>
          <xdr:cNvPr id="9" name="TextBox 8">
            <a:extLst>
              <a:ext uri="{FF2B5EF4-FFF2-40B4-BE49-F238E27FC236}">
                <a16:creationId xmlns:a16="http://schemas.microsoft.com/office/drawing/2014/main" id="{4953BAFD-9646-C9E2-8124-46B660BD971B}"/>
              </a:ext>
            </a:extLst>
          </xdr:cNvPr>
          <xdr:cNvSpPr txBox="1"/>
        </xdr:nvSpPr>
        <xdr:spPr>
          <a:xfrm>
            <a:off x="6616700" y="1257300"/>
            <a:ext cx="1593850" cy="527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IN" sz="1300" b="1">
                <a:solidFill>
                  <a:srgbClr val="FFFF00"/>
                </a:solidFill>
                <a:effectLst/>
                <a:latin typeface="Aptos" panose="020B0004020202020204" pitchFamily="34" charset="0"/>
                <a:ea typeface="+mn-ea"/>
                <a:cs typeface="+mn-cs"/>
              </a:rPr>
              <a:t>Personal</a:t>
            </a:r>
            <a:r>
              <a:rPr lang="en-IN" sz="1300" b="1" baseline="0">
                <a:solidFill>
                  <a:srgbClr val="FFFF00"/>
                </a:solidFill>
                <a:effectLst/>
                <a:latin typeface="Aptos" panose="020B0004020202020204" pitchFamily="34" charset="0"/>
                <a:ea typeface="+mn-ea"/>
                <a:cs typeface="+mn-cs"/>
              </a:rPr>
              <a:t> Finance</a:t>
            </a:r>
            <a:endParaRPr lang="en-IN" sz="1300" b="1">
              <a:solidFill>
                <a:srgbClr val="FFFF00"/>
              </a:solidFill>
              <a:effectLst/>
              <a:latin typeface="Aptos" panose="020B0004020202020204" pitchFamily="34" charset="0"/>
            </a:endParaRPr>
          </a:p>
        </xdr:txBody>
      </xdr:sp>
    </xdr:grpSp>
    <xdr:clientData/>
  </xdr:twoCellAnchor>
  <xdr:twoCellAnchor>
    <xdr:from>
      <xdr:col>13</xdr:col>
      <xdr:colOff>76200</xdr:colOff>
      <xdr:row>8</xdr:row>
      <xdr:rowOff>101600</xdr:rowOff>
    </xdr:from>
    <xdr:to>
      <xdr:col>15</xdr:col>
      <xdr:colOff>567000</xdr:colOff>
      <xdr:row>11</xdr:row>
      <xdr:rowOff>95250</xdr:rowOff>
    </xdr:to>
    <xdr:grpSp>
      <xdr:nvGrpSpPr>
        <xdr:cNvPr id="10" name="Group 9">
          <a:hlinkClick xmlns:r="http://schemas.openxmlformats.org/officeDocument/2006/relationships" r:id="rId3"/>
          <a:extLst>
            <a:ext uri="{FF2B5EF4-FFF2-40B4-BE49-F238E27FC236}">
              <a16:creationId xmlns:a16="http://schemas.microsoft.com/office/drawing/2014/main" id="{B36F0ABB-EB8C-400B-835E-1C8D2552559B}"/>
            </a:ext>
          </a:extLst>
        </xdr:cNvPr>
        <xdr:cNvGrpSpPr/>
      </xdr:nvGrpSpPr>
      <xdr:grpSpPr>
        <a:xfrm>
          <a:off x="6565900" y="1809750"/>
          <a:ext cx="1710000" cy="654050"/>
          <a:chOff x="6559550" y="1193800"/>
          <a:chExt cx="1657350" cy="654050"/>
        </a:xfrm>
      </xdr:grpSpPr>
      <xdr:sp macro="" textlink="">
        <xdr:nvSpPr>
          <xdr:cNvPr id="11" name="Rectangle: Rounded Corners 10">
            <a:extLst>
              <a:ext uri="{FF2B5EF4-FFF2-40B4-BE49-F238E27FC236}">
                <a16:creationId xmlns:a16="http://schemas.microsoft.com/office/drawing/2014/main" id="{7BEF3C1E-6398-4ADA-3BC1-BA1D8B7D6184}"/>
              </a:ext>
            </a:extLst>
          </xdr:cNvPr>
          <xdr:cNvSpPr/>
        </xdr:nvSpPr>
        <xdr:spPr>
          <a:xfrm>
            <a:off x="6559550" y="1193800"/>
            <a:ext cx="1657350" cy="654050"/>
          </a:xfrm>
          <a:prstGeom prst="roundRect">
            <a:avLst/>
          </a:prstGeom>
          <a:solidFill>
            <a:srgbClr val="00206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400">
              <a:latin typeface="Aptos" panose="020B0004020202020204" pitchFamily="34" charset="0"/>
            </a:endParaRPr>
          </a:p>
        </xdr:txBody>
      </xdr:sp>
      <xdr:sp macro="" textlink="">
        <xdr:nvSpPr>
          <xdr:cNvPr id="12" name="TextBox 11">
            <a:extLst>
              <a:ext uri="{FF2B5EF4-FFF2-40B4-BE49-F238E27FC236}">
                <a16:creationId xmlns:a16="http://schemas.microsoft.com/office/drawing/2014/main" id="{6F5A9BA7-FB08-7E87-35C2-DCC6BEEF561E}"/>
              </a:ext>
            </a:extLst>
          </xdr:cNvPr>
          <xdr:cNvSpPr txBox="1"/>
        </xdr:nvSpPr>
        <xdr:spPr>
          <a:xfrm>
            <a:off x="6616700" y="1257300"/>
            <a:ext cx="1593850" cy="527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IN" sz="1300" b="1">
                <a:solidFill>
                  <a:srgbClr val="FFFF00"/>
                </a:solidFill>
                <a:effectLst/>
                <a:latin typeface="Aptos" panose="020B0004020202020204" pitchFamily="34" charset="0"/>
                <a:ea typeface="+mn-ea"/>
                <a:cs typeface="+mn-cs"/>
              </a:rPr>
              <a:t>Budgeting</a:t>
            </a:r>
            <a:r>
              <a:rPr lang="en-IN" sz="1300" b="1" baseline="0">
                <a:solidFill>
                  <a:srgbClr val="FFFF00"/>
                </a:solidFill>
                <a:effectLst/>
                <a:latin typeface="Aptos" panose="020B0004020202020204" pitchFamily="34" charset="0"/>
                <a:ea typeface="+mn-ea"/>
                <a:cs typeface="+mn-cs"/>
              </a:rPr>
              <a:t> and Savings</a:t>
            </a:r>
            <a:endParaRPr lang="en-IN" sz="1300" b="1">
              <a:solidFill>
                <a:srgbClr val="FFFF00"/>
              </a:solidFill>
              <a:effectLst/>
              <a:latin typeface="Aptos" panose="020B0004020202020204" pitchFamily="34" charset="0"/>
            </a:endParaRPr>
          </a:p>
        </xdr:txBody>
      </xdr:sp>
    </xdr:grpSp>
    <xdr:clientData/>
  </xdr:twoCellAnchor>
  <xdr:twoCellAnchor>
    <xdr:from>
      <xdr:col>16</xdr:col>
      <xdr:colOff>107950</xdr:colOff>
      <xdr:row>8</xdr:row>
      <xdr:rowOff>101600</xdr:rowOff>
    </xdr:from>
    <xdr:to>
      <xdr:col>18</xdr:col>
      <xdr:colOff>596900</xdr:colOff>
      <xdr:row>11</xdr:row>
      <xdr:rowOff>95250</xdr:rowOff>
    </xdr:to>
    <xdr:grpSp>
      <xdr:nvGrpSpPr>
        <xdr:cNvPr id="13" name="Group 12">
          <a:hlinkClick xmlns:r="http://schemas.openxmlformats.org/officeDocument/2006/relationships" r:id="rId4"/>
          <a:extLst>
            <a:ext uri="{FF2B5EF4-FFF2-40B4-BE49-F238E27FC236}">
              <a16:creationId xmlns:a16="http://schemas.microsoft.com/office/drawing/2014/main" id="{D7CA1E07-95B1-4621-B1C7-74B7CAFD823B}"/>
            </a:ext>
          </a:extLst>
        </xdr:cNvPr>
        <xdr:cNvGrpSpPr/>
      </xdr:nvGrpSpPr>
      <xdr:grpSpPr>
        <a:xfrm>
          <a:off x="8426450" y="1809750"/>
          <a:ext cx="1708150" cy="654050"/>
          <a:chOff x="6559550" y="1193800"/>
          <a:chExt cx="1657350" cy="654050"/>
        </a:xfrm>
      </xdr:grpSpPr>
      <xdr:sp macro="" textlink="">
        <xdr:nvSpPr>
          <xdr:cNvPr id="14" name="Rectangle: Rounded Corners 13">
            <a:extLst>
              <a:ext uri="{FF2B5EF4-FFF2-40B4-BE49-F238E27FC236}">
                <a16:creationId xmlns:a16="http://schemas.microsoft.com/office/drawing/2014/main" id="{EBA41326-FB96-1F6B-5559-4904B5C7E75B}"/>
              </a:ext>
            </a:extLst>
          </xdr:cNvPr>
          <xdr:cNvSpPr/>
        </xdr:nvSpPr>
        <xdr:spPr>
          <a:xfrm>
            <a:off x="6559550" y="1193800"/>
            <a:ext cx="1657350" cy="654050"/>
          </a:xfrm>
          <a:prstGeom prst="roundRect">
            <a:avLst/>
          </a:prstGeom>
          <a:solidFill>
            <a:srgbClr val="00206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400">
              <a:latin typeface="Aptos" panose="020B0004020202020204" pitchFamily="34" charset="0"/>
            </a:endParaRPr>
          </a:p>
        </xdr:txBody>
      </xdr:sp>
      <xdr:sp macro="" textlink="">
        <xdr:nvSpPr>
          <xdr:cNvPr id="15" name="TextBox 14">
            <a:extLst>
              <a:ext uri="{FF2B5EF4-FFF2-40B4-BE49-F238E27FC236}">
                <a16:creationId xmlns:a16="http://schemas.microsoft.com/office/drawing/2014/main" id="{105AE624-A6A8-3AFC-394D-7C242BA90B27}"/>
              </a:ext>
            </a:extLst>
          </xdr:cNvPr>
          <xdr:cNvSpPr txBox="1"/>
        </xdr:nvSpPr>
        <xdr:spPr>
          <a:xfrm>
            <a:off x="6579600" y="1257300"/>
            <a:ext cx="1630951" cy="527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IN" sz="1300" b="1">
                <a:solidFill>
                  <a:srgbClr val="FFFF00"/>
                </a:solidFill>
                <a:effectLst/>
                <a:latin typeface="Aptos" panose="020B0004020202020204" pitchFamily="34" charset="0"/>
                <a:ea typeface="+mn-ea"/>
                <a:cs typeface="+mn-cs"/>
              </a:rPr>
              <a:t>Credit</a:t>
            </a:r>
            <a:r>
              <a:rPr lang="en-IN" sz="1300" b="1" baseline="0">
                <a:solidFill>
                  <a:srgbClr val="FFFF00"/>
                </a:solidFill>
                <a:effectLst/>
                <a:latin typeface="Aptos" panose="020B0004020202020204" pitchFamily="34" charset="0"/>
                <a:ea typeface="+mn-ea"/>
                <a:cs typeface="+mn-cs"/>
              </a:rPr>
              <a:t> and Debt Management</a:t>
            </a:r>
            <a:endParaRPr lang="en-IN" sz="1300" b="1">
              <a:solidFill>
                <a:srgbClr val="FFFF00"/>
              </a:solidFill>
              <a:effectLst/>
              <a:latin typeface="Aptos" panose="020B0004020202020204" pitchFamily="34" charset="0"/>
            </a:endParaRPr>
          </a:p>
        </xdr:txBody>
      </xdr:sp>
    </xdr:grpSp>
    <xdr:clientData/>
  </xdr:twoCellAnchor>
  <xdr:twoCellAnchor>
    <xdr:from>
      <xdr:col>13</xdr:col>
      <xdr:colOff>107950</xdr:colOff>
      <xdr:row>11</xdr:row>
      <xdr:rowOff>203200</xdr:rowOff>
    </xdr:from>
    <xdr:to>
      <xdr:col>15</xdr:col>
      <xdr:colOff>598750</xdr:colOff>
      <xdr:row>14</xdr:row>
      <xdr:rowOff>267850</xdr:rowOff>
    </xdr:to>
    <xdr:grpSp>
      <xdr:nvGrpSpPr>
        <xdr:cNvPr id="16" name="Group 15">
          <a:hlinkClick xmlns:r="http://schemas.openxmlformats.org/officeDocument/2006/relationships" r:id="rId5"/>
          <a:extLst>
            <a:ext uri="{FF2B5EF4-FFF2-40B4-BE49-F238E27FC236}">
              <a16:creationId xmlns:a16="http://schemas.microsoft.com/office/drawing/2014/main" id="{870BB51F-B5EE-48FF-8803-589BF83B000A}"/>
            </a:ext>
          </a:extLst>
        </xdr:cNvPr>
        <xdr:cNvGrpSpPr/>
      </xdr:nvGrpSpPr>
      <xdr:grpSpPr>
        <a:xfrm>
          <a:off x="6597650" y="2571750"/>
          <a:ext cx="1710000" cy="655200"/>
          <a:chOff x="6559550" y="1193800"/>
          <a:chExt cx="1657350" cy="654050"/>
        </a:xfrm>
      </xdr:grpSpPr>
      <xdr:sp macro="" textlink="">
        <xdr:nvSpPr>
          <xdr:cNvPr id="17" name="Rectangle: Rounded Corners 16">
            <a:extLst>
              <a:ext uri="{FF2B5EF4-FFF2-40B4-BE49-F238E27FC236}">
                <a16:creationId xmlns:a16="http://schemas.microsoft.com/office/drawing/2014/main" id="{61265103-63A8-32DF-3EC6-E5A1DE2ADE2A}"/>
              </a:ext>
            </a:extLst>
          </xdr:cNvPr>
          <xdr:cNvSpPr/>
        </xdr:nvSpPr>
        <xdr:spPr>
          <a:xfrm>
            <a:off x="6559550" y="1193800"/>
            <a:ext cx="1657350" cy="654050"/>
          </a:xfrm>
          <a:prstGeom prst="roundRect">
            <a:avLst/>
          </a:prstGeom>
          <a:solidFill>
            <a:srgbClr val="00206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400">
              <a:latin typeface="Aptos" panose="020B0004020202020204" pitchFamily="34" charset="0"/>
            </a:endParaRPr>
          </a:p>
        </xdr:txBody>
      </xdr:sp>
      <xdr:sp macro="" textlink="">
        <xdr:nvSpPr>
          <xdr:cNvPr id="18" name="TextBox 17">
            <a:extLst>
              <a:ext uri="{FF2B5EF4-FFF2-40B4-BE49-F238E27FC236}">
                <a16:creationId xmlns:a16="http://schemas.microsoft.com/office/drawing/2014/main" id="{21798BC2-0802-D7E3-DC04-08C6AA97B1E7}"/>
              </a:ext>
            </a:extLst>
          </xdr:cNvPr>
          <xdr:cNvSpPr txBox="1"/>
        </xdr:nvSpPr>
        <xdr:spPr>
          <a:xfrm>
            <a:off x="6616700" y="1257300"/>
            <a:ext cx="1593850" cy="527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IN" sz="1300" b="1">
                <a:solidFill>
                  <a:srgbClr val="FFFF00"/>
                </a:solidFill>
                <a:effectLst/>
                <a:latin typeface="Aptos" panose="020B0004020202020204" pitchFamily="34" charset="0"/>
                <a:ea typeface="+mn-ea"/>
                <a:cs typeface="+mn-cs"/>
              </a:rPr>
              <a:t>Credit</a:t>
            </a:r>
            <a:r>
              <a:rPr lang="en-IN" sz="1300" b="1" baseline="0">
                <a:solidFill>
                  <a:srgbClr val="FFFF00"/>
                </a:solidFill>
                <a:effectLst/>
                <a:latin typeface="Aptos" panose="020B0004020202020204" pitchFamily="34" charset="0"/>
                <a:ea typeface="+mn-ea"/>
                <a:cs typeface="+mn-cs"/>
              </a:rPr>
              <a:t> Cards</a:t>
            </a:r>
            <a:endParaRPr lang="en-IN" sz="1300" b="1">
              <a:solidFill>
                <a:srgbClr val="FFFF00"/>
              </a:solidFill>
              <a:effectLst/>
              <a:latin typeface="Aptos" panose="020B0004020202020204" pitchFamily="34" charset="0"/>
            </a:endParaRPr>
          </a:p>
        </xdr:txBody>
      </xdr:sp>
    </xdr:grpSp>
    <xdr:clientData/>
  </xdr:twoCellAnchor>
  <xdr:twoCellAnchor>
    <xdr:from>
      <xdr:col>16</xdr:col>
      <xdr:colOff>127000</xdr:colOff>
      <xdr:row>11</xdr:row>
      <xdr:rowOff>196850</xdr:rowOff>
    </xdr:from>
    <xdr:to>
      <xdr:col>19</xdr:col>
      <xdr:colOff>8200</xdr:colOff>
      <xdr:row>14</xdr:row>
      <xdr:rowOff>260350</xdr:rowOff>
    </xdr:to>
    <xdr:grpSp>
      <xdr:nvGrpSpPr>
        <xdr:cNvPr id="19" name="Group 18">
          <a:extLst>
            <a:ext uri="{FF2B5EF4-FFF2-40B4-BE49-F238E27FC236}">
              <a16:creationId xmlns:a16="http://schemas.microsoft.com/office/drawing/2014/main" id="{B59C8C22-561C-45EF-9651-C84C193FF9D7}"/>
            </a:ext>
          </a:extLst>
        </xdr:cNvPr>
        <xdr:cNvGrpSpPr/>
      </xdr:nvGrpSpPr>
      <xdr:grpSpPr>
        <a:xfrm>
          <a:off x="8445500" y="2565400"/>
          <a:ext cx="1710000" cy="654050"/>
          <a:chOff x="6559550" y="1193800"/>
          <a:chExt cx="1657350" cy="654050"/>
        </a:xfrm>
      </xdr:grpSpPr>
      <xdr:sp macro="" textlink="">
        <xdr:nvSpPr>
          <xdr:cNvPr id="20" name="Rectangle: Rounded Corners 19">
            <a:extLst>
              <a:ext uri="{FF2B5EF4-FFF2-40B4-BE49-F238E27FC236}">
                <a16:creationId xmlns:a16="http://schemas.microsoft.com/office/drawing/2014/main" id="{39AE4786-A06F-8429-A895-5BFE7C06E20F}"/>
              </a:ext>
            </a:extLst>
          </xdr:cNvPr>
          <xdr:cNvSpPr/>
        </xdr:nvSpPr>
        <xdr:spPr>
          <a:xfrm>
            <a:off x="6559550" y="1193800"/>
            <a:ext cx="1657350" cy="654050"/>
          </a:xfrm>
          <a:prstGeom prst="roundRect">
            <a:avLst/>
          </a:prstGeom>
          <a:solidFill>
            <a:srgbClr val="00206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400">
              <a:latin typeface="Aptos" panose="020B0004020202020204" pitchFamily="34" charset="0"/>
            </a:endParaRPr>
          </a:p>
        </xdr:txBody>
      </xdr:sp>
      <xdr:sp macro="" textlink="">
        <xdr:nvSpPr>
          <xdr:cNvPr id="21" name="TextBox 20">
            <a:extLst>
              <a:ext uri="{FF2B5EF4-FFF2-40B4-BE49-F238E27FC236}">
                <a16:creationId xmlns:a16="http://schemas.microsoft.com/office/drawing/2014/main" id="{1CA4E82E-6A14-3934-9DFC-4FE2B1C52445}"/>
              </a:ext>
            </a:extLst>
          </xdr:cNvPr>
          <xdr:cNvSpPr txBox="1"/>
        </xdr:nvSpPr>
        <xdr:spPr>
          <a:xfrm>
            <a:off x="6616700" y="1257300"/>
            <a:ext cx="1593850" cy="527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IN" sz="1300" b="1">
                <a:solidFill>
                  <a:srgbClr val="FFFF00"/>
                </a:solidFill>
                <a:effectLst/>
                <a:latin typeface="Aptos" panose="020B0004020202020204" pitchFamily="34" charset="0"/>
                <a:ea typeface="+mn-ea"/>
                <a:cs typeface="+mn-cs"/>
              </a:rPr>
              <a:t>Personal</a:t>
            </a:r>
            <a:r>
              <a:rPr lang="en-IN" sz="1300" b="1" baseline="0">
                <a:solidFill>
                  <a:srgbClr val="FFFF00"/>
                </a:solidFill>
                <a:effectLst/>
                <a:latin typeface="Aptos" panose="020B0004020202020204" pitchFamily="34" charset="0"/>
                <a:ea typeface="+mn-ea"/>
                <a:cs typeface="+mn-cs"/>
              </a:rPr>
              <a:t> Finance Templates</a:t>
            </a:r>
            <a:endParaRPr lang="en-IN" sz="1300" b="1">
              <a:solidFill>
                <a:srgbClr val="FFFF00"/>
              </a:solidFill>
              <a:effectLst/>
              <a:latin typeface="Aptos" panose="020B0004020202020204" pitchFamily="34" charset="0"/>
            </a:endParaRPr>
          </a:p>
        </xdr:txBody>
      </xdr:sp>
    </xdr:grpSp>
    <xdr:clientData/>
  </xdr:twoCellAnchor>
  <xdr:twoCellAnchor editAs="oneCell">
    <xdr:from>
      <xdr:col>1</xdr:col>
      <xdr:colOff>12701</xdr:colOff>
      <xdr:row>1</xdr:row>
      <xdr:rowOff>44450</xdr:rowOff>
    </xdr:from>
    <xdr:to>
      <xdr:col>5</xdr:col>
      <xdr:colOff>190500</xdr:colOff>
      <xdr:row>5</xdr:row>
      <xdr:rowOff>38330</xdr:rowOff>
    </xdr:to>
    <xdr:pic>
      <xdr:nvPicPr>
        <xdr:cNvPr id="22" name="Picture 21">
          <a:hlinkClick xmlns:r="http://schemas.openxmlformats.org/officeDocument/2006/relationships" r:id="rId6"/>
          <a:extLst>
            <a:ext uri="{FF2B5EF4-FFF2-40B4-BE49-F238E27FC236}">
              <a16:creationId xmlns:a16="http://schemas.microsoft.com/office/drawing/2014/main" id="{EB1F02EC-6884-49F5-8978-2A2F49C57B53}"/>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374651" y="234950"/>
          <a:ext cx="2343149" cy="7495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323850</xdr:colOff>
      <xdr:row>0</xdr:row>
      <xdr:rowOff>6350</xdr:rowOff>
    </xdr:from>
    <xdr:to>
      <xdr:col>15</xdr:col>
      <xdr:colOff>133350</xdr:colOff>
      <xdr:row>2</xdr:row>
      <xdr:rowOff>114606</xdr:rowOff>
    </xdr:to>
    <xdr:pic>
      <xdr:nvPicPr>
        <xdr:cNvPr id="2" name="Picture 1">
          <a:hlinkClick xmlns:r="http://schemas.openxmlformats.org/officeDocument/2006/relationships" r:id="rId1"/>
          <a:extLst>
            <a:ext uri="{FF2B5EF4-FFF2-40B4-BE49-F238E27FC236}">
              <a16:creationId xmlns:a16="http://schemas.microsoft.com/office/drawing/2014/main" id="{AED63101-F416-4A91-ACE6-B90B29E85BE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150350" y="6350"/>
          <a:ext cx="1708150" cy="5464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1365250</xdr:colOff>
      <xdr:row>27</xdr:row>
      <xdr:rowOff>82550</xdr:rowOff>
    </xdr:from>
    <xdr:to>
      <xdr:col>14</xdr:col>
      <xdr:colOff>6350</xdr:colOff>
      <xdr:row>41</xdr:row>
      <xdr:rowOff>0</xdr:rowOff>
    </xdr:to>
    <xdr:graphicFrame macro="">
      <xdr:nvGraphicFramePr>
        <xdr:cNvPr id="2" name="Chart 1">
          <a:extLst>
            <a:ext uri="{FF2B5EF4-FFF2-40B4-BE49-F238E27FC236}">
              <a16:creationId xmlns:a16="http://schemas.microsoft.com/office/drawing/2014/main" id="{6AB7055C-8E09-6AD4-C262-68623296B7D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2</xdr:col>
      <xdr:colOff>57150</xdr:colOff>
      <xdr:row>3</xdr:row>
      <xdr:rowOff>19050</xdr:rowOff>
    </xdr:from>
    <xdr:to>
      <xdr:col>4</xdr:col>
      <xdr:colOff>110022</xdr:colOff>
      <xdr:row>5</xdr:row>
      <xdr:rowOff>120650</xdr:rowOff>
    </xdr:to>
    <xdr:pic>
      <xdr:nvPicPr>
        <xdr:cNvPr id="3" name="Picture 2">
          <a:hlinkClick xmlns:r="http://schemas.openxmlformats.org/officeDocument/2006/relationships" r:id="rId2"/>
          <a:extLst>
            <a:ext uri="{FF2B5EF4-FFF2-40B4-BE49-F238E27FC236}">
              <a16:creationId xmlns:a16="http://schemas.microsoft.com/office/drawing/2014/main" id="{409AE22E-6465-4987-B658-3DCCA9A8AA1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644650" y="539750"/>
          <a:ext cx="1310172" cy="444500"/>
        </a:xfrm>
        <a:prstGeom prst="rect">
          <a:avLst/>
        </a:prstGeom>
      </xdr:spPr>
    </xdr:pic>
    <xdr:clientData/>
  </xdr:twoCellAnchor>
  <xdr:twoCellAnchor>
    <xdr:from>
      <xdr:col>2</xdr:col>
      <xdr:colOff>0</xdr:colOff>
      <xdr:row>56</xdr:row>
      <xdr:rowOff>69850</xdr:rowOff>
    </xdr:from>
    <xdr:to>
      <xdr:col>13</xdr:col>
      <xdr:colOff>609600</xdr:colOff>
      <xdr:row>73</xdr:row>
      <xdr:rowOff>114300</xdr:rowOff>
    </xdr:to>
    <xdr:graphicFrame macro="">
      <xdr:nvGraphicFramePr>
        <xdr:cNvPr id="6" name="Chart 5">
          <a:extLst>
            <a:ext uri="{FF2B5EF4-FFF2-40B4-BE49-F238E27FC236}">
              <a16:creationId xmlns:a16="http://schemas.microsoft.com/office/drawing/2014/main" id="{FAAF636F-82FA-48C4-AFA5-65A1230E73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158750</xdr:colOff>
      <xdr:row>40</xdr:row>
      <xdr:rowOff>139700</xdr:rowOff>
    </xdr:from>
    <xdr:to>
      <xdr:col>16</xdr:col>
      <xdr:colOff>95249</xdr:colOff>
      <xdr:row>55</xdr:row>
      <xdr:rowOff>127000</xdr:rowOff>
    </xdr:to>
    <xdr:graphicFrame macro="">
      <xdr:nvGraphicFramePr>
        <xdr:cNvPr id="4" name="Chart 3">
          <a:extLst>
            <a:ext uri="{FF2B5EF4-FFF2-40B4-BE49-F238E27FC236}">
              <a16:creationId xmlns:a16="http://schemas.microsoft.com/office/drawing/2014/main" id="{EEAFE7C0-07C2-D72A-3C67-479BC1FCC74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7327900</xdr:colOff>
      <xdr:row>0</xdr:row>
      <xdr:rowOff>190500</xdr:rowOff>
    </xdr:from>
    <xdr:to>
      <xdr:col>2</xdr:col>
      <xdr:colOff>52872</xdr:colOff>
      <xdr:row>3</xdr:row>
      <xdr:rowOff>50800</xdr:rowOff>
    </xdr:to>
    <xdr:pic>
      <xdr:nvPicPr>
        <xdr:cNvPr id="2" name="Picture 1">
          <a:hlinkClick xmlns:r="http://schemas.openxmlformats.org/officeDocument/2006/relationships" r:id="rId1"/>
          <a:extLst>
            <a:ext uri="{FF2B5EF4-FFF2-40B4-BE49-F238E27FC236}">
              <a16:creationId xmlns:a16="http://schemas.microsoft.com/office/drawing/2014/main" id="{19B1563A-04E6-424F-8392-389BBFAB483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13650" y="190500"/>
          <a:ext cx="1310172" cy="444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info/Desktop/GramePay_v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
      <sheetName val="Rev-GeP"/>
      <sheetName val="Rev-Adv"/>
      <sheetName val="DE"/>
      <sheetName val="IE"/>
      <sheetName val="Sal"/>
      <sheetName val="Sch"/>
      <sheetName val="FA"/>
      <sheetName val="Tax"/>
      <sheetName val="P&amp;L"/>
      <sheetName val="BS"/>
      <sheetName val="CF"/>
      <sheetName val="DCF"/>
    </sheetNames>
    <sheetDataSet>
      <sheetData sheetId="0">
        <row r="22">
          <cell r="D22">
            <v>1</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04F3013-F664-42EA-8446-463B4228518F}" name="Table1" displayName="Table1" ref="A14:P37" totalsRowCount="1" headerRowDxfId="489" dataDxfId="488" totalsRowDxfId="487" dataCellStyle="Comma">
  <tableColumns count="16">
    <tableColumn id="1" xr3:uid="{578C1839-5695-4D19-854E-2718B7C996D7}" name="INCOME (INFLOW)" totalsRowLabel=" TOTAL INCOME " dataDxfId="486" totalsRowDxfId="485" dataCellStyle="Comma"/>
    <tableColumn id="2" xr3:uid="{7B4260D6-EE1F-4964-92F4-AF52DCD1D7AA}" name="JAN" totalsRowFunction="sum" dataDxfId="484" totalsRowDxfId="483" dataCellStyle="Comma"/>
    <tableColumn id="3" xr3:uid="{C2757DA9-580A-4E29-9B80-E227625FDF25}" name="FEB" totalsRowFunction="sum" dataDxfId="482" totalsRowDxfId="481" dataCellStyle="Comma"/>
    <tableColumn id="4" xr3:uid="{3399D7FE-852A-47B7-B4CC-4E60E935A11D}" name="MAR" totalsRowFunction="sum" dataDxfId="480" totalsRowDxfId="479" dataCellStyle="Comma"/>
    <tableColumn id="5" xr3:uid="{5121A638-7C7D-4AFF-8C50-6530C2AC60F3}" name="APR" totalsRowFunction="sum" dataDxfId="478" totalsRowDxfId="477" dataCellStyle="Comma"/>
    <tableColumn id="6" xr3:uid="{B85E28D5-21E0-4711-8B91-13125EB64EE4}" name="MAY" totalsRowFunction="sum" dataDxfId="476" totalsRowDxfId="475" dataCellStyle="Comma"/>
    <tableColumn id="7" xr3:uid="{C0ACBD4A-FFFD-4D4F-89D8-72CE998F5EB0}" name="JUN" totalsRowFunction="sum" dataDxfId="474" totalsRowDxfId="473" dataCellStyle="Comma"/>
    <tableColumn id="8" xr3:uid="{2965101E-B7B0-4E98-8D0C-3C91754289E6}" name="JUL" totalsRowFunction="sum" dataDxfId="472" totalsRowDxfId="471" dataCellStyle="Comma"/>
    <tableColumn id="9" xr3:uid="{68B50C17-9A35-4BF4-A74C-656966C77F72}" name="AUG" totalsRowFunction="sum" dataDxfId="470" totalsRowDxfId="469" dataCellStyle="Comma"/>
    <tableColumn id="10" xr3:uid="{DCCD16EF-3D56-4DF7-86C6-6D7F7F33227E}" name="SEP" totalsRowFunction="sum" dataDxfId="468" totalsRowDxfId="467" dataCellStyle="Comma"/>
    <tableColumn id="11" xr3:uid="{2B7BBDA8-05FD-46D0-8AA4-39D491737113}" name="OCT" totalsRowFunction="sum" dataDxfId="466" totalsRowDxfId="465" dataCellStyle="Comma"/>
    <tableColumn id="12" xr3:uid="{2CC494D9-24C5-4A62-ACA9-7812203B7DF9}" name="NOV" totalsRowFunction="sum" dataDxfId="464" totalsRowDxfId="463" dataCellStyle="Comma"/>
    <tableColumn id="13" xr3:uid="{E30675BD-98C5-4536-BDC6-0F78C981691D}" name="DEC" totalsRowFunction="sum" dataDxfId="462" totalsRowDxfId="461" dataCellStyle="Comma"/>
    <tableColumn id="14" xr3:uid="{475E9855-4B08-4AB4-A8DF-4D3F7EF88A38}" name="Total" totalsRowFunction="sum" dataDxfId="460" totalsRowDxfId="459" dataCellStyle="Comma">
      <calculatedColumnFormula>SUM(B15:M15)</calculatedColumnFormula>
    </tableColumn>
    <tableColumn id="15" xr3:uid="{A079DE29-B9DC-4683-8C4A-422C4A238109}" name="Mnthly Avg" totalsRowFunction="sum" dataDxfId="458" totalsRowDxfId="457" dataCellStyle="Comma">
      <calculatedColumnFormula>IFERROR(AVERAGEIF(Table1[[#This Row],[JAN]:[DEC]], "&gt;0"), 0)</calculatedColumnFormula>
    </tableColumn>
    <tableColumn id="16" xr3:uid="{B100282E-CCA3-4F6F-A98E-A96B9DE548D1}" name="Column1" dataDxfId="456" totalsRowDxfId="455" dataCellStyle="Comma"/>
  </tableColumns>
  <tableStyleInfo showFirstColumn="1" showLastColumn="0" showRowStripes="0"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6B77FFA-E799-472D-824D-121F128DFCFB}" name="Table2" displayName="Table2" ref="A39:P54" totalsRowCount="1" headerRowDxfId="454" dataDxfId="453" totalsRowDxfId="452" dataCellStyle="Comma">
  <tableColumns count="16">
    <tableColumn id="1" xr3:uid="{7BE3C891-49A4-4AFF-8553-88D6965294BF}" name="HOME EXPENSES" totalsRowLabel="    TOTAL HOME EXPENSES " dataDxfId="451" totalsRowDxfId="450" dataCellStyle="Comma"/>
    <tableColumn id="2" xr3:uid="{A8C0E73C-1AAE-4DCF-B014-550838378BC5}" name="JAN" totalsRowFunction="sum" dataDxfId="449" totalsRowDxfId="448" dataCellStyle="Comma"/>
    <tableColumn id="3" xr3:uid="{0AC5C638-0AD0-4ABB-B42C-59410183B1BE}" name="FEB" totalsRowFunction="sum" dataDxfId="447" totalsRowDxfId="446" dataCellStyle="Comma"/>
    <tableColumn id="4" xr3:uid="{FCCD42E2-558E-42D7-AF9B-E92D3C9FD791}" name="MAR" totalsRowFunction="sum" dataDxfId="445" totalsRowDxfId="444" dataCellStyle="Comma"/>
    <tableColumn id="5" xr3:uid="{45221D5A-2D67-4973-92C4-9855A61F5CBC}" name="APR" totalsRowFunction="sum" dataDxfId="443" totalsRowDxfId="442" dataCellStyle="Comma"/>
    <tableColumn id="6" xr3:uid="{A57CC17F-425B-478C-AB66-BA01CBE24E3F}" name="MAY" totalsRowFunction="sum" dataDxfId="441" totalsRowDxfId="440" dataCellStyle="Comma"/>
    <tableColumn id="7" xr3:uid="{CB59D314-A9FD-4BE3-AE5D-4D38A10DD868}" name="JUN" totalsRowFunction="sum" dataDxfId="439" totalsRowDxfId="438" dataCellStyle="Comma"/>
    <tableColumn id="8" xr3:uid="{B851E98A-B3E8-40BE-8B59-CDAFE91AE190}" name="JUL" totalsRowFunction="sum" dataDxfId="437" totalsRowDxfId="436" dataCellStyle="Comma"/>
    <tableColumn id="9" xr3:uid="{24286B81-AE13-4E55-A448-6C9BA2C2363E}" name="AUG" totalsRowFunction="sum" dataDxfId="435" totalsRowDxfId="434" dataCellStyle="Comma"/>
    <tableColumn id="10" xr3:uid="{652F56A7-5130-4B63-8C00-D8F805EDF189}" name="SEP" totalsRowFunction="sum" dataDxfId="433" totalsRowDxfId="432" dataCellStyle="Comma"/>
    <tableColumn id="11" xr3:uid="{9740A65D-51CF-4C38-A650-FA78AD106B40}" name="OCT" totalsRowFunction="sum" dataDxfId="431" totalsRowDxfId="430" dataCellStyle="Comma"/>
    <tableColumn id="12" xr3:uid="{8623B170-92F7-4437-B90A-C3CB5EC0375E}" name="NOV" totalsRowFunction="sum" dataDxfId="429" totalsRowDxfId="428" dataCellStyle="Comma"/>
    <tableColumn id="13" xr3:uid="{2B58E952-3175-42C4-B30D-7E4DA679B6BD}" name="DEC" totalsRowFunction="sum" dataDxfId="427" totalsRowDxfId="426" dataCellStyle="Comma"/>
    <tableColumn id="14" xr3:uid="{355342FE-742F-4AD2-8C97-530C2C59DDD6}" name="Total" totalsRowFunction="sum" dataDxfId="425" totalsRowDxfId="424" dataCellStyle="Comma">
      <calculatedColumnFormula>SUM(B40:M40)</calculatedColumnFormula>
    </tableColumn>
    <tableColumn id="15" xr3:uid="{926010D0-DA3E-493E-B99D-1FBEAA9EEFB7}" name="Monthly Avg" totalsRowFunction="sum" dataDxfId="423" totalsRowDxfId="422" dataCellStyle="Comma">
      <calculatedColumnFormula>IFERROR(AVERAGEIF(Table2[[#This Row],[JAN]:[DEC]], "&gt;0"),0)</calculatedColumnFormula>
    </tableColumn>
    <tableColumn id="16" xr3:uid="{659F81A2-A736-467E-9C6F-175640499286}" name="Category" dataDxfId="421" totalsRowDxfId="420" dataCellStyle="Comma"/>
  </tableColumns>
  <tableStyleInfo showFirstColumn="1" showLastColumn="0" showRowStripes="0" showColumnStripes="1"/>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F5938C6-7A3A-401B-A92A-34B1CC686A72}" name="Table3" displayName="Table3" ref="A56:P65" totalsRowCount="1" headerRowDxfId="419" dataDxfId="418" totalsRowDxfId="417" dataCellStyle="Comma">
  <tableColumns count="16">
    <tableColumn id="1" xr3:uid="{A8C9B6FC-5EDB-4EA0-B325-E303BDA6F55D}" name="TRANSPORTATION" totalsRowLabel="  TOTAL TRANSPORTATION " dataDxfId="416" totalsRowDxfId="415" dataCellStyle="Comma"/>
    <tableColumn id="2" xr3:uid="{D3775784-BF45-4232-805E-357D62405B22}" name="JAN" totalsRowFunction="sum" dataDxfId="414" totalsRowDxfId="413" dataCellStyle="Comma"/>
    <tableColumn id="3" xr3:uid="{C12DC5E2-5D6D-497B-B601-7815328F21E4}" name="FEB" totalsRowFunction="sum" dataDxfId="412" totalsRowDxfId="411" dataCellStyle="Comma"/>
    <tableColumn id="4" xr3:uid="{971F9756-BDD7-46EF-B860-7B196AD6FA24}" name="MAR" totalsRowFunction="sum" dataDxfId="410" totalsRowDxfId="409" dataCellStyle="Comma"/>
    <tableColumn id="5" xr3:uid="{33E753B3-E09E-4266-892A-4D3C0C447D1B}" name="APR" totalsRowFunction="sum" dataDxfId="408" totalsRowDxfId="407" dataCellStyle="Comma"/>
    <tableColumn id="6" xr3:uid="{70C26332-E5D3-4FCA-9511-AA19E4CD9A58}" name="MAY" totalsRowFunction="sum" dataDxfId="406" totalsRowDxfId="405" dataCellStyle="Comma"/>
    <tableColumn id="7" xr3:uid="{B2578700-E10E-4613-9DCD-34D6442F69E8}" name="JUN" totalsRowFunction="sum" dataDxfId="404" totalsRowDxfId="403" dataCellStyle="Comma"/>
    <tableColumn id="8" xr3:uid="{C50E9D94-49EF-4676-889C-BCF8CA4D2C14}" name="JUL" totalsRowFunction="sum" dataDxfId="402" totalsRowDxfId="401" dataCellStyle="Comma"/>
    <tableColumn id="9" xr3:uid="{C0C38C2C-2A97-41EC-AEDE-AA37E21B702A}" name="AUG" totalsRowFunction="sum" dataDxfId="400" totalsRowDxfId="399" dataCellStyle="Comma"/>
    <tableColumn id="10" xr3:uid="{B9F5E99A-9C1D-4A6D-8065-C4FCEDC8160D}" name="SEP" totalsRowFunction="sum" dataDxfId="398" totalsRowDxfId="397" dataCellStyle="Comma"/>
    <tableColumn id="11" xr3:uid="{9604C860-75AD-460C-9F35-EFE78402E6C1}" name="OCT" totalsRowFunction="sum" dataDxfId="396" totalsRowDxfId="395" dataCellStyle="Comma"/>
    <tableColumn id="12" xr3:uid="{BCA584C8-6A45-4D77-BE50-E84A6181AE28}" name="NOV" totalsRowFunction="sum" dataDxfId="394" totalsRowDxfId="393" dataCellStyle="Comma"/>
    <tableColumn id="13" xr3:uid="{D619DC71-3FE1-46D9-8D4E-2F9A5E1DE209}" name="DEC" totalsRowFunction="sum" dataDxfId="392" totalsRowDxfId="391" dataCellStyle="Comma"/>
    <tableColumn id="14" xr3:uid="{AAF39731-329B-4A45-A432-5BC590C021F0}" name="Total" totalsRowFunction="sum" dataDxfId="390" totalsRowDxfId="389" dataCellStyle="Comma">
      <calculatedColumnFormula>SUM(B57:M57)</calculatedColumnFormula>
    </tableColumn>
    <tableColumn id="15" xr3:uid="{14160CA6-F594-43A1-AD34-09337156747B}" name="Monthly Avg" totalsRowFunction="sum" dataDxfId="388" totalsRowDxfId="387" dataCellStyle="Comma">
      <calculatedColumnFormula>IFERROR(AVERAGEIF(Table3[[#This Row],[JAN]:[DEC]], "&gt;0"), 0)</calculatedColumnFormula>
    </tableColumn>
    <tableColumn id="16" xr3:uid="{7868C80E-F853-49BA-9B37-91D844176FB8}" name="Category" dataDxfId="386" totalsRowDxfId="385" dataCellStyle="Comma"/>
  </tableColumns>
  <tableStyleInfo showFirstColumn="1" showLastColumn="0" showRowStripes="0" showColumnStripes="1"/>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7999A3D-ED01-4677-B941-69E7DC4AD6AC}" name="Table4" displayName="Table4" ref="A67:P77" totalsRowCount="1" headerRowDxfId="384" dataDxfId="383" totalsRowDxfId="382" dataCellStyle="Comma">
  <tableColumns count="16">
    <tableColumn id="1" xr3:uid="{0F0AF49A-D221-439E-86AB-822DE783C1A8}" name="HEALTH" totalsRowLabel="  TOTAL HEALTH " dataDxfId="381" totalsRowDxfId="380" dataCellStyle="Comma"/>
    <tableColumn id="2" xr3:uid="{5E35838B-2999-4A6E-B86E-E032D2E5041D}" name="JAN" totalsRowFunction="sum" dataDxfId="379" totalsRowDxfId="378" dataCellStyle="Comma"/>
    <tableColumn id="3" xr3:uid="{0D9784DF-5313-4D9E-AE41-F5DB36FBAB6A}" name="FEB" totalsRowFunction="sum" dataDxfId="377" totalsRowDxfId="376" dataCellStyle="Comma"/>
    <tableColumn id="4" xr3:uid="{82673FB2-C17B-4F64-95EF-7A899DB9BD85}" name="MAR" totalsRowFunction="sum" dataDxfId="375" totalsRowDxfId="374" dataCellStyle="Comma"/>
    <tableColumn id="5" xr3:uid="{26DAEE54-23A0-43D8-ACC7-199D525190AA}" name="APR" totalsRowFunction="sum" dataDxfId="373" totalsRowDxfId="372" dataCellStyle="Comma"/>
    <tableColumn id="6" xr3:uid="{2DAEF976-E0FA-49DA-940E-F7F65F271457}" name="MAY" totalsRowFunction="sum" dataDxfId="371" totalsRowDxfId="370" dataCellStyle="Comma"/>
    <tableColumn id="7" xr3:uid="{86DF65E0-D13A-4925-B63D-F94CCF6D3B1B}" name="JUN" totalsRowFunction="sum" dataDxfId="369" totalsRowDxfId="368" dataCellStyle="Comma"/>
    <tableColumn id="8" xr3:uid="{3587D0A3-D048-41D2-ACB0-60F379239554}" name="JUL" totalsRowFunction="sum" dataDxfId="367" totalsRowDxfId="366" dataCellStyle="Comma"/>
    <tableColumn id="9" xr3:uid="{621ECF2E-699C-45F7-BDCF-836F77CF6F9F}" name="AUG" totalsRowFunction="sum" dataDxfId="365" totalsRowDxfId="364" dataCellStyle="Comma"/>
    <tableColumn id="10" xr3:uid="{00FADEE1-3D75-47F1-BCFC-B17C706E0D43}" name="SEP" totalsRowFunction="sum" dataDxfId="363" totalsRowDxfId="362" dataCellStyle="Comma"/>
    <tableColumn id="11" xr3:uid="{26411AE7-8A3F-48BE-AD95-45C23D639049}" name="OCT" totalsRowFunction="sum" dataDxfId="361" totalsRowDxfId="360" dataCellStyle="Comma"/>
    <tableColumn id="12" xr3:uid="{5B6A1844-DB58-46F5-A913-34A6A55E02FD}" name="NOV" totalsRowFunction="sum" dataDxfId="359" totalsRowDxfId="358" dataCellStyle="Comma"/>
    <tableColumn id="13" xr3:uid="{3AADA521-8A6E-4779-A7F3-7F923956705A}" name="DEC" totalsRowFunction="sum" dataDxfId="357" totalsRowDxfId="356" dataCellStyle="Comma"/>
    <tableColumn id="14" xr3:uid="{8A4EC905-236B-470F-92AA-2ECEA051226D}" name="Total" totalsRowFunction="sum" dataDxfId="355" totalsRowDxfId="354" dataCellStyle="Comma">
      <calculatedColumnFormula>SUM(B68:M68)</calculatedColumnFormula>
    </tableColumn>
    <tableColumn id="15" xr3:uid="{41FE4E3C-DDA8-42A6-BF72-63DA61F48ACC}" name="Monthly Avg" totalsRowFunction="sum" dataDxfId="353" totalsRowDxfId="352" dataCellStyle="Comma">
      <calculatedColumnFormula>IFERROR(AVERAGEIF(Table4[[#This Row],[JAN]:[DEC]], "&gt;0"), 0)</calculatedColumnFormula>
    </tableColumn>
    <tableColumn id="16" xr3:uid="{0579A99D-34A6-4149-9357-F4C13D402B5E}" name="Category" dataDxfId="351" totalsRowDxfId="350" dataCellStyle="Comma"/>
  </tableColumns>
  <tableStyleInfo showFirstColumn="1" showLastColumn="0" showRowStripes="0" showColumnStripes="1"/>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5BAA679-6E0A-4EC0-B4A7-0EC2B4F25A39}" name="Table5" displayName="Table5" ref="A79:P85" totalsRowCount="1" headerRowDxfId="349" dataDxfId="348" totalsRowDxfId="347" dataCellStyle="Comma">
  <tableColumns count="16">
    <tableColumn id="1" xr3:uid="{9155FE72-542E-4FBD-94EB-8C69892BAD77}" name="CHARITY / GIFTS" totalsRowLabel="  TOTAL CHARITY " dataDxfId="346" totalsRowDxfId="345" dataCellStyle="Comma"/>
    <tableColumn id="2" xr3:uid="{876021EF-B89D-4241-904C-64623AAB8EA0}" name="JAN" totalsRowFunction="sum" dataDxfId="344" totalsRowDxfId="343" dataCellStyle="Comma"/>
    <tableColumn id="3" xr3:uid="{5AEC0D89-2231-4199-A49B-DFA03AF03CB1}" name="FEB" totalsRowFunction="sum" dataDxfId="342" totalsRowDxfId="341" dataCellStyle="Comma"/>
    <tableColumn id="4" xr3:uid="{2B690BDC-0A29-4BC9-94D0-AF5D11D2C0C9}" name="MAR" totalsRowFunction="sum" dataDxfId="340" totalsRowDxfId="339" dataCellStyle="Comma"/>
    <tableColumn id="5" xr3:uid="{C5A2F847-96D8-4AF0-AE49-DCF07CFB7154}" name="APR" totalsRowFunction="sum" dataDxfId="338" totalsRowDxfId="337" dataCellStyle="Comma"/>
    <tableColumn id="6" xr3:uid="{7E617381-5290-4E8D-A21E-037738D39F59}" name="MAY" totalsRowFunction="sum" dataDxfId="336" totalsRowDxfId="335" dataCellStyle="Comma"/>
    <tableColumn id="7" xr3:uid="{49558B96-CE09-4DA1-9E6C-70B77C221E5E}" name="JUN" totalsRowFunction="sum" dataDxfId="334" totalsRowDxfId="333" dataCellStyle="Comma"/>
    <tableColumn id="8" xr3:uid="{016FEFDF-16F5-415A-AFEF-9DAA4DBC1115}" name="JUL" totalsRowFunction="sum" dataDxfId="332" totalsRowDxfId="331" dataCellStyle="Comma"/>
    <tableColumn id="9" xr3:uid="{FD674A38-EEFC-4E7A-8858-B4672AD9117E}" name="AUG" totalsRowFunction="sum" dataDxfId="330" totalsRowDxfId="329" dataCellStyle="Comma"/>
    <tableColumn id="10" xr3:uid="{8CE5D59E-69F1-4CCF-9FB3-E50361B56E36}" name="SEP" totalsRowFunction="sum" dataDxfId="328" totalsRowDxfId="327" dataCellStyle="Comma"/>
    <tableColumn id="11" xr3:uid="{3A73273E-E1B8-4737-9AB8-1F32F2EC5EF2}" name="OCT" totalsRowFunction="sum" dataDxfId="326" totalsRowDxfId="325" dataCellStyle="Comma"/>
    <tableColumn id="12" xr3:uid="{448882FE-9E3B-4F36-B6DC-17C41FCA02A1}" name="NOV" totalsRowFunction="sum" dataDxfId="324" totalsRowDxfId="323" dataCellStyle="Comma"/>
    <tableColumn id="13" xr3:uid="{04D96E25-E3C5-430D-B91F-449C752CE5C2}" name="DEC" totalsRowFunction="sum" dataDxfId="322" totalsRowDxfId="321" dataCellStyle="Comma"/>
    <tableColumn id="14" xr3:uid="{FFBA6BCA-7B09-4438-B58B-D5B5D800BC59}" name="Total" totalsRowFunction="sum" dataDxfId="320" totalsRowDxfId="319" dataCellStyle="Comma">
      <calculatedColumnFormula>SUM(B80:M80)</calculatedColumnFormula>
    </tableColumn>
    <tableColumn id="15" xr3:uid="{090D6FEF-F22D-4F68-8554-1898719E5364}" name="Monthly Avg" totalsRowFunction="sum" dataDxfId="318" totalsRowDxfId="317" dataCellStyle="Comma">
      <calculatedColumnFormula>IFERROR(AVERAGEIF(Table5[[#This Row],[JAN]:[DEC]], "&gt;0"), 0)</calculatedColumnFormula>
    </tableColumn>
    <tableColumn id="16" xr3:uid="{C1D4CB60-1863-4FF1-89CE-A0968F1603AF}" name="Category" dataDxfId="316" totalsRowDxfId="315" dataCellStyle="Comma"/>
  </tableColumns>
  <tableStyleInfo showFirstColumn="1" showLastColumn="0" showRowStripes="0" showColumnStripes="1"/>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86A0420-2EF6-4C5F-A86D-5E3FED4BC740}" name="Table6" displayName="Table6" ref="A87:P99" totalsRowCount="1" headerRowDxfId="314" dataDxfId="313" totalsRowDxfId="312" dataCellStyle="Comma">
  <tableColumns count="16">
    <tableColumn id="1" xr3:uid="{BB480C77-B0BD-46F5-A245-30205C626FE9}" name="DAILY LIVING" totalsRowLabel="  TOTAL DAILY LIVING " dataDxfId="311" totalsRowDxfId="310" dataCellStyle="Comma"/>
    <tableColumn id="2" xr3:uid="{FBF73540-5A13-419F-A5E5-B8238D069FDC}" name="JAN" totalsRowFunction="sum" dataDxfId="309" totalsRowDxfId="308" dataCellStyle="Comma"/>
    <tableColumn id="3" xr3:uid="{60A8A862-1C65-4576-8AD2-9532FF744E14}" name="FEB" totalsRowFunction="sum" dataDxfId="307" totalsRowDxfId="306" dataCellStyle="Comma"/>
    <tableColumn id="4" xr3:uid="{A909178E-FC00-41DF-9DDF-AEF84678B3F7}" name="MAR" totalsRowFunction="sum" dataDxfId="305" totalsRowDxfId="304" dataCellStyle="Comma"/>
    <tableColumn id="5" xr3:uid="{75F31B10-9BED-44DD-97C4-F6292471F29F}" name="APR" totalsRowFunction="sum" dataDxfId="303" totalsRowDxfId="302" dataCellStyle="Comma"/>
    <tableColumn id="6" xr3:uid="{92F96823-7FFC-4C3F-84FE-F2A71283E8E1}" name="MAY" totalsRowFunction="sum" dataDxfId="301" totalsRowDxfId="300" dataCellStyle="Comma"/>
    <tableColumn id="7" xr3:uid="{8FEEA71A-F4EA-404B-B5EC-17584A8D90B7}" name="JUN" totalsRowFunction="sum" dataDxfId="299" totalsRowDxfId="298" dataCellStyle="Comma"/>
    <tableColumn id="8" xr3:uid="{96C05B43-21D0-4D88-BF41-2BE39038B438}" name="JUL" totalsRowFunction="sum" dataDxfId="297" totalsRowDxfId="296" dataCellStyle="Comma"/>
    <tableColumn id="9" xr3:uid="{4E356207-CF40-48EE-B3C2-2A87030D5F78}" name="AUG" totalsRowFunction="sum" dataDxfId="295" totalsRowDxfId="294" dataCellStyle="Comma"/>
    <tableColumn id="10" xr3:uid="{F0982713-73A3-4C0F-BCB7-78C751D100E3}" name="SEP" totalsRowFunction="sum" dataDxfId="293" totalsRowDxfId="292" dataCellStyle="Comma"/>
    <tableColumn id="11" xr3:uid="{7E40E2CE-48A3-4657-9EB3-C4F6C9AF13F1}" name="OCT" totalsRowFunction="sum" dataDxfId="291" totalsRowDxfId="290" dataCellStyle="Comma"/>
    <tableColumn id="12" xr3:uid="{3CFE4455-F163-4D1A-9D63-F1AA69CF6894}" name="NOV" totalsRowFunction="sum" dataDxfId="289" totalsRowDxfId="288" dataCellStyle="Comma"/>
    <tableColumn id="13" xr3:uid="{CA8961BF-84D0-4AA3-8CF5-F5645582D79E}" name="DEC" totalsRowFunction="sum" dataDxfId="287" totalsRowDxfId="286" dataCellStyle="Comma"/>
    <tableColumn id="14" xr3:uid="{E93A163D-9E92-45D2-8A58-90339C5BDF37}" name="Total" totalsRowFunction="sum" dataDxfId="285" totalsRowDxfId="284" dataCellStyle="Comma">
      <calculatedColumnFormula>SUM(B88:M88)</calculatedColumnFormula>
    </tableColumn>
    <tableColumn id="15" xr3:uid="{DEB6B0F4-63C0-45D4-B82F-8EDC31F0D4E9}" name="Monthly Avg" totalsRowFunction="sum" dataDxfId="283" totalsRowDxfId="282" dataCellStyle="Comma">
      <calculatedColumnFormula>IFERROR(AVERAGEIF(Table6[[#This Row],[JAN]:[DEC]], "&gt;0"), 0)</calculatedColumnFormula>
    </tableColumn>
    <tableColumn id="16" xr3:uid="{FF8DD0E4-A69E-4D98-A4C8-815C94809EF5}" name="Category" dataDxfId="281" totalsRowDxfId="280" dataCellStyle="Comma"/>
  </tableColumns>
  <tableStyleInfo showFirstColumn="1" showLastColumn="0" showRowStripes="0" showColumnStripes="1"/>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5B3EFD9B-DAC3-4D2E-BDDA-F7938411C2F2}" name="Table8" displayName="Table8" ref="A114:P124" totalsRowCount="1" headerRowDxfId="279" dataDxfId="278" totalsRowDxfId="277" dataCellStyle="Comma">
  <tableColumns count="16">
    <tableColumn id="1" xr3:uid="{84290EC6-A00A-4FB2-A9CE-377AFBBBDBBD}" name="ENTERTAINMENT" totalsRowLabel="  TOTAL ENTERTAINMENT " dataDxfId="276" totalsRowDxfId="275" dataCellStyle="Comma"/>
    <tableColumn id="2" xr3:uid="{5196CB56-B096-4CE0-816E-C430EAF01A57}" name="JAN" totalsRowFunction="sum" dataDxfId="274" totalsRowDxfId="273" dataCellStyle="Comma"/>
    <tableColumn id="3" xr3:uid="{063E731D-92FA-4341-A9F6-3E4305967FF0}" name="FEB" totalsRowFunction="sum" dataDxfId="272" totalsRowDxfId="271" dataCellStyle="Comma"/>
    <tableColumn id="4" xr3:uid="{563EC60C-C1D8-46E5-A3F7-E0AF218A1F21}" name="MAR" totalsRowFunction="sum" dataDxfId="270" totalsRowDxfId="269" dataCellStyle="Comma"/>
    <tableColumn id="5" xr3:uid="{615BDEFB-C235-4E07-8A93-EB3F962646C7}" name="APR" totalsRowFunction="sum" dataDxfId="268" totalsRowDxfId="267" dataCellStyle="Comma"/>
    <tableColumn id="6" xr3:uid="{DD936137-1BF4-4E50-8A8C-130780ABC4D1}" name="MAY" totalsRowFunction="sum" dataDxfId="266" totalsRowDxfId="265" dataCellStyle="Comma"/>
    <tableColumn id="7" xr3:uid="{FD07FB43-3383-4AEB-9A58-F9B99F986A80}" name="JUN" totalsRowFunction="sum" dataDxfId="264" totalsRowDxfId="263" dataCellStyle="Comma"/>
    <tableColumn id="8" xr3:uid="{FF3E5FF2-08C2-47CE-B9AC-F478E3AC7A22}" name="JUL" totalsRowFunction="sum" dataDxfId="262" totalsRowDxfId="261" dataCellStyle="Comma"/>
    <tableColumn id="9" xr3:uid="{DD587DCA-95EC-4FDE-9FF5-370B93CD0803}" name="AUG" totalsRowFunction="sum" dataDxfId="260" totalsRowDxfId="259" dataCellStyle="Comma"/>
    <tableColumn id="10" xr3:uid="{F4082533-9E1F-4936-AAC4-1874EC58A97F}" name="SEP" totalsRowFunction="sum" dataDxfId="258" totalsRowDxfId="257" dataCellStyle="Comma"/>
    <tableColumn id="11" xr3:uid="{9E414AB3-8346-4E08-A2F3-BA0BD69F1007}" name="OCT" totalsRowFunction="sum" dataDxfId="256" totalsRowDxfId="255" dataCellStyle="Comma"/>
    <tableColumn id="12" xr3:uid="{BBFB3341-C2A6-40B3-B024-99B058BF4155}" name="NOV" totalsRowFunction="sum" dataDxfId="254" totalsRowDxfId="253" dataCellStyle="Comma"/>
    <tableColumn id="13" xr3:uid="{DAAC88DD-8261-4EAD-B8DA-E823A1A272F8}" name="DEC" totalsRowFunction="sum" dataDxfId="252" totalsRowDxfId="251" dataCellStyle="Comma"/>
    <tableColumn id="14" xr3:uid="{8A83C3F1-9BC2-4ED2-B35A-B8D6EC8D6E45}" name="Total" totalsRowFunction="sum" dataDxfId="250" totalsRowDxfId="249" dataCellStyle="Comma">
      <calculatedColumnFormula>SUM(B115:M115)</calculatedColumnFormula>
    </tableColumn>
    <tableColumn id="15" xr3:uid="{E3AAE25B-8AF9-4344-854E-A3DEF92574AA}" name="Monthly Avg" totalsRowFunction="sum" dataDxfId="248" totalsRowDxfId="247" dataCellStyle="Comma">
      <calculatedColumnFormula>IFERROR(AVERAGEIF(Table8[[#This Row],[JAN]:[DEC]], "&gt;0"), 0)</calculatedColumnFormula>
    </tableColumn>
    <tableColumn id="16" xr3:uid="{62744B05-BF67-4953-A270-B5709F05D923}" name="Category" dataDxfId="246" totalsRowDxfId="245" dataCellStyle="Comma"/>
  </tableColumns>
  <tableStyleInfo showFirstColumn="1" showLastColumn="0" showRowStripes="0" showColumnStripes="1"/>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316E38B-8073-4D6D-8DFF-EAC477088E86}" name="Table9" displayName="Table9" ref="A126:P134" totalsRowCount="1" headerRowDxfId="244" dataDxfId="243" totalsRowDxfId="242" dataCellStyle="Comma">
  <tableColumns count="16">
    <tableColumn id="1" xr3:uid="{18055771-B725-4712-AD3E-B190AB44DAFE}" name="SAVINGS" totalsRowLabel="  TOTAL SAVINGS " dataDxfId="241" totalsRowDxfId="240" dataCellStyle="Comma"/>
    <tableColumn id="2" xr3:uid="{550EEFDD-2419-4C2C-9766-F65ED96E7943}" name="JAN" totalsRowFunction="sum" dataDxfId="239" totalsRowDxfId="238" dataCellStyle="Comma"/>
    <tableColumn id="3" xr3:uid="{D0D510D6-4AC2-4E9F-AF2C-CE79BE79FDA5}" name="FEB" totalsRowFunction="sum" dataDxfId="237" totalsRowDxfId="236" dataCellStyle="Comma"/>
    <tableColumn id="4" xr3:uid="{45C69876-7225-486D-877F-5687B97122DB}" name="MAR" totalsRowFunction="sum" dataDxfId="235" totalsRowDxfId="234" dataCellStyle="Comma"/>
    <tableColumn id="5" xr3:uid="{0AF716DB-837D-4EAD-B594-95C7E4390060}" name="APR" totalsRowFunction="sum" dataDxfId="233" totalsRowDxfId="232" dataCellStyle="Comma"/>
    <tableColumn id="6" xr3:uid="{4EFEF6D4-E7FA-471A-90C1-A8AF1ED68973}" name="MAY" totalsRowFunction="sum" dataDxfId="231" totalsRowDxfId="230" dataCellStyle="Comma"/>
    <tableColumn id="7" xr3:uid="{D6DA949D-3EFD-463C-9926-6B7830939223}" name="JUN" totalsRowFunction="sum" dataDxfId="229" totalsRowDxfId="228" dataCellStyle="Comma"/>
    <tableColumn id="8" xr3:uid="{49696EEF-D647-437B-B2AB-72F4D05BC076}" name="JUL" totalsRowFunction="sum" dataDxfId="227" totalsRowDxfId="226" dataCellStyle="Comma"/>
    <tableColumn id="9" xr3:uid="{9FAF7E8B-4377-43B3-9B4D-2F5FF816A656}" name="AUG" totalsRowFunction="sum" dataDxfId="225" totalsRowDxfId="224" dataCellStyle="Comma"/>
    <tableColumn id="10" xr3:uid="{CF547B5A-56D4-43B8-8061-4E1F2AEC181D}" name="SEP" totalsRowFunction="sum" dataDxfId="223" totalsRowDxfId="222" dataCellStyle="Comma"/>
    <tableColumn id="11" xr3:uid="{9619F0B2-B61C-4E6A-8560-B0DBBA61C56A}" name="OCT" totalsRowFunction="sum" dataDxfId="221" totalsRowDxfId="220" dataCellStyle="Comma"/>
    <tableColumn id="12" xr3:uid="{BB9E9F7D-A792-4A86-B09A-2563B1006C47}" name="NOV" totalsRowFunction="sum" dataDxfId="219" totalsRowDxfId="218" dataCellStyle="Comma"/>
    <tableColumn id="13" xr3:uid="{27FC2296-0808-4B25-9EA4-9BB67090D76E}" name="DEC" totalsRowFunction="sum" dataDxfId="217" totalsRowDxfId="216" dataCellStyle="Comma"/>
    <tableColumn id="14" xr3:uid="{2375FD4A-8911-4F1E-863B-BAEC2555C8A6}" name="Total" totalsRowFunction="sum" dataDxfId="215" totalsRowDxfId="214" dataCellStyle="Comma">
      <calculatedColumnFormula>SUM(B127:M127)</calculatedColumnFormula>
    </tableColumn>
    <tableColumn id="15" xr3:uid="{46AA4CDE-9BDC-477F-83EA-1D5330EE45AC}" name="Monthly Avg" totalsRowFunction="sum" dataDxfId="213" totalsRowDxfId="212" dataCellStyle="Comma">
      <calculatedColumnFormula>IFERROR(AVERAGEIF(Table9[[#This Row],[JAN]:[DEC]], "&gt;0"), 0)</calculatedColumnFormula>
    </tableColumn>
    <tableColumn id="16" xr3:uid="{F740B026-169F-4262-B117-24E319F3D8BB}" name="Category" dataDxfId="211" totalsRowDxfId="210" dataCellStyle="Comma"/>
  </tableColumns>
  <tableStyleInfo showFirstColumn="1" showLastColumn="0" showRowStripes="0" showColumnStripes="1"/>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B408496-B255-487C-B56B-51E8AE17371C}" name="Table10" displayName="Table10" ref="A136:P144" totalsRowCount="1" headerRowDxfId="209" dataDxfId="208" totalsRowDxfId="207" dataCellStyle="Comma">
  <tableColumns count="16">
    <tableColumn id="1" xr3:uid="{A3F8E7D5-2BBB-4B0C-8EFF-7FC912E4D73B}" name="DEBT REPAYMENTS" totalsRowLabel="  TOTAL DEBT REPAYMENTS " dataDxfId="206" totalsRowDxfId="205" dataCellStyle="Comma"/>
    <tableColumn id="2" xr3:uid="{90D29407-CE8E-4067-AF12-50359F420084}" name="JAN" totalsRowFunction="sum" dataDxfId="204" totalsRowDxfId="203" dataCellStyle="Comma"/>
    <tableColumn id="3" xr3:uid="{9933FE69-EEA8-4361-A63D-5938CB41742A}" name="FEB" totalsRowFunction="sum" dataDxfId="202" totalsRowDxfId="201" dataCellStyle="Comma"/>
    <tableColumn id="4" xr3:uid="{171A1BCA-5300-4EC6-B179-C42C31BEA9A0}" name="MAR" totalsRowFunction="sum" dataDxfId="200" totalsRowDxfId="199" dataCellStyle="Comma"/>
    <tableColumn id="5" xr3:uid="{CF2F3307-D37F-4F4C-9187-8B9FFBF38AA5}" name="APR" totalsRowFunction="sum" dataDxfId="198" totalsRowDxfId="197" dataCellStyle="Comma"/>
    <tableColumn id="6" xr3:uid="{CF1D3310-9F53-46A6-A9B4-1106529F4B6D}" name="MAY" totalsRowFunction="sum" dataDxfId="196" totalsRowDxfId="195" dataCellStyle="Comma"/>
    <tableColumn id="7" xr3:uid="{02B629AD-4F73-44D6-926F-1395A79D8EAA}" name="JUN" totalsRowFunction="sum" dataDxfId="194" totalsRowDxfId="193" dataCellStyle="Comma"/>
    <tableColumn id="8" xr3:uid="{3A3A1CBC-97FF-4F63-8E6D-A6433FA94011}" name="JUL" totalsRowFunction="sum" dataDxfId="192" totalsRowDxfId="191" dataCellStyle="Comma"/>
    <tableColumn id="9" xr3:uid="{0E50BA5C-C574-47A8-88D8-6D970F89BE67}" name="AUG" totalsRowFunction="sum" dataDxfId="190" totalsRowDxfId="189" dataCellStyle="Comma"/>
    <tableColumn id="10" xr3:uid="{1848561B-C777-4781-A2B5-1B3D6DCD6140}" name="SEP" totalsRowFunction="sum" dataDxfId="188" totalsRowDxfId="187" dataCellStyle="Comma"/>
    <tableColumn id="11" xr3:uid="{D752722B-AD32-44DB-9E7E-FBA4D7FB7553}" name="OCT" totalsRowFunction="sum" dataDxfId="186" totalsRowDxfId="185" dataCellStyle="Comma"/>
    <tableColumn id="12" xr3:uid="{C1DF6AA4-ABD3-428A-B77D-ED586445D98C}" name="NOV" totalsRowFunction="sum" dataDxfId="184" totalsRowDxfId="183" dataCellStyle="Comma"/>
    <tableColumn id="13" xr3:uid="{12F53EA1-F557-452C-BDC6-9EAE70CA5440}" name="DEC" totalsRowFunction="sum" dataDxfId="182" totalsRowDxfId="181" dataCellStyle="Comma"/>
    <tableColumn id="14" xr3:uid="{1EB847F6-3D22-4E9A-B05A-F484A0BC38A4}" name="Total" totalsRowFunction="sum" dataDxfId="180" totalsRowDxfId="179" dataCellStyle="Comma">
      <calculatedColumnFormula>SUM(B137:M137)</calculatedColumnFormula>
    </tableColumn>
    <tableColumn id="15" xr3:uid="{90D5DDC7-00AA-4711-9674-AFB6CB4E656B}" name="Monthly Avg" totalsRowFunction="sum" dataDxfId="178" totalsRowDxfId="177" dataCellStyle="Comma">
      <calculatedColumnFormula>IFERROR(AVERAGEIF(Table10[[#This Row],[JAN]:[DEC]], "&gt;0"), 0)</calculatedColumnFormula>
    </tableColumn>
    <tableColumn id="16" xr3:uid="{165CF57A-3CEF-4023-A616-F53CAB5EC4EB}" name="Category" dataDxfId="176" totalsRowDxfId="175" dataCellStyle="Comma"/>
  </tableColumns>
  <tableStyleInfo showFirstColumn="1" showLastColumn="0" showRowStripes="0" showColumnStripes="1"/>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1F6368C-23E0-4A1D-A3C7-283711B25993}" name="Table11" displayName="Table11" ref="A146:P154" totalsRowCount="1" headerRowDxfId="174" dataDxfId="173" totalsRowDxfId="172" dataCellStyle="Comma">
  <tableColumns count="16">
    <tableColumn id="1" xr3:uid="{2A987133-B8E4-4678-813E-485E506B235A}" name="OBLIGATIONS" totalsRowLabel="  TOTAL OBLIGATIONS " dataDxfId="171" totalsRowDxfId="170" dataCellStyle="Comma"/>
    <tableColumn id="2" xr3:uid="{4303F03E-79C8-4366-83B2-864FF144C14C}" name="JAN" totalsRowFunction="sum" dataDxfId="169" totalsRowDxfId="168" dataCellStyle="Comma"/>
    <tableColumn id="3" xr3:uid="{6751D6DB-8251-486A-9EC8-C69D86000D71}" name="FEB" totalsRowFunction="sum" dataDxfId="167" totalsRowDxfId="166" dataCellStyle="Comma"/>
    <tableColumn id="4" xr3:uid="{4BCF4609-4150-4D89-ABFA-14297A4195A0}" name="MAR" totalsRowFunction="sum" dataDxfId="165" totalsRowDxfId="164" dataCellStyle="Comma"/>
    <tableColumn id="5" xr3:uid="{6065B90B-67B2-4C04-A2D6-7E9B1F2F8CB7}" name="APR" totalsRowFunction="sum" dataDxfId="163" totalsRowDxfId="162" dataCellStyle="Comma"/>
    <tableColumn id="6" xr3:uid="{5A79E550-AC88-431D-A2D1-D548BFA12CD1}" name="MAY" totalsRowFunction="sum" dataDxfId="161" totalsRowDxfId="160" dataCellStyle="Comma"/>
    <tableColumn id="7" xr3:uid="{88D86CDE-2B85-41C8-A403-144410C06423}" name="JUN" totalsRowFunction="sum" dataDxfId="159" totalsRowDxfId="158" dataCellStyle="Comma"/>
    <tableColumn id="8" xr3:uid="{2DD8BA13-FF95-40A1-BA4E-8F62CBE32648}" name="JUL" totalsRowFunction="sum" dataDxfId="157" totalsRowDxfId="156" dataCellStyle="Comma"/>
    <tableColumn id="9" xr3:uid="{960B6A1E-9A4F-4A91-92CE-1B4BFB9EAF32}" name="AUG" totalsRowFunction="sum" dataDxfId="155" totalsRowDxfId="154" dataCellStyle="Comma"/>
    <tableColumn id="10" xr3:uid="{5B3D51F7-2415-438A-9593-DEF91D168A5B}" name="SEP" totalsRowFunction="sum" dataDxfId="153" totalsRowDxfId="152" dataCellStyle="Comma"/>
    <tableColumn id="11" xr3:uid="{B93AB57B-65AE-4BEC-AE06-2985AAA8B535}" name="OCT" totalsRowFunction="sum" dataDxfId="151" totalsRowDxfId="150" dataCellStyle="Comma"/>
    <tableColumn id="12" xr3:uid="{1E0ADB9C-4FDA-4B3E-A0D9-209A1DCEE3A0}" name="NOV" totalsRowFunction="sum" dataDxfId="149" totalsRowDxfId="148" dataCellStyle="Comma"/>
    <tableColumn id="13" xr3:uid="{FF72DAD3-9233-4417-BDA6-981B5B4AA56E}" name="DEC" totalsRowFunction="sum" dataDxfId="147" totalsRowDxfId="146" dataCellStyle="Comma"/>
    <tableColumn id="14" xr3:uid="{77A9FB2A-E953-47F1-BFB2-826002C5C7BE}" name="Total" totalsRowFunction="sum" dataDxfId="145" totalsRowDxfId="144" dataCellStyle="Comma">
      <calculatedColumnFormula>SUM(B147:M147)</calculatedColumnFormula>
    </tableColumn>
    <tableColumn id="15" xr3:uid="{D733C757-2157-47FF-9AE5-B7BFAAA0E9D1}" name="Monthly Avg" totalsRowFunction="sum" dataDxfId="143" totalsRowDxfId="142" dataCellStyle="Comma">
      <calculatedColumnFormula>IFERROR(AVERAGEIF(Table11[[#This Row],[JAN]:[DEC]], "&gt;0"), 0)</calculatedColumnFormula>
    </tableColumn>
    <tableColumn id="16" xr3:uid="{62827DC8-970D-4973-80D2-2D5D1671F1B6}" name="Category" dataDxfId="141" totalsRowDxfId="140" dataCellStyle="Comma"/>
  </tableColumns>
  <tableStyleInfo showFirstColumn="1" showLastColumn="0" showRowStripes="0" showColumnStripes="1"/>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BF40512E-C128-4FD5-A700-BE94DE5C26E9}" name="Table13" displayName="Table13" ref="A164:P170" totalsRowCount="1" headerRowDxfId="139" dataDxfId="138" totalsRowDxfId="137" dataCellStyle="Comma">
  <tableColumns count="16">
    <tableColumn id="1" xr3:uid="{71EFBF47-8280-4A3F-B45B-A85256FEAD06}" name="SUBSCRIPTIONS" totalsRowLabel="  TOTAL SUBSCRIPTIONS " dataDxfId="136" totalsRowDxfId="135" dataCellStyle="Comma"/>
    <tableColumn id="2" xr3:uid="{607F806F-8EE9-49DB-BBC5-C3D9E5E2372A}" name="JAN" totalsRowFunction="sum" dataDxfId="134" totalsRowDxfId="133" dataCellStyle="Comma"/>
    <tableColumn id="3" xr3:uid="{F7427E33-CB6A-479F-8609-ED6C9C082D7A}" name="FEB" totalsRowFunction="sum" dataDxfId="132" totalsRowDxfId="131" dataCellStyle="Comma"/>
    <tableColumn id="4" xr3:uid="{E6BDC7B3-882E-450E-8E63-A612FC0C875C}" name="MAR" totalsRowFunction="sum" dataDxfId="130" totalsRowDxfId="129" dataCellStyle="Comma"/>
    <tableColumn id="5" xr3:uid="{23646242-0572-4D8F-813C-9369BB81490F}" name="APR" totalsRowFunction="sum" dataDxfId="128" totalsRowDxfId="127" dataCellStyle="Comma"/>
    <tableColumn id="6" xr3:uid="{7D2B96B1-5D1D-4BD7-A73F-D35789E067FE}" name="MAY" totalsRowFunction="sum" dataDxfId="126" totalsRowDxfId="125" dataCellStyle="Comma"/>
    <tableColumn id="7" xr3:uid="{54F87D8C-3826-4422-A590-4ED2880D1752}" name="JUN" totalsRowFunction="sum" dataDxfId="124" totalsRowDxfId="123" dataCellStyle="Comma"/>
    <tableColumn id="8" xr3:uid="{4EF53BB0-F032-4029-8DF7-FED3AB7E43CD}" name="JUL" totalsRowFunction="sum" dataDxfId="122" totalsRowDxfId="121" dataCellStyle="Comma"/>
    <tableColumn id="9" xr3:uid="{89E08044-7C5C-49AF-85D6-534C95E20BB2}" name="AUG" totalsRowFunction="sum" dataDxfId="120" totalsRowDxfId="119" dataCellStyle="Comma"/>
    <tableColumn id="10" xr3:uid="{1FACA334-CD2E-4F17-870A-017CEF47531D}" name="SEP" totalsRowFunction="sum" dataDxfId="118" totalsRowDxfId="117" dataCellStyle="Comma"/>
    <tableColumn id="11" xr3:uid="{7B0739E0-0E18-4D1B-AEF3-4BD99177B5EB}" name="OCT" totalsRowFunction="sum" dataDxfId="116" totalsRowDxfId="115" dataCellStyle="Comma"/>
    <tableColumn id="12" xr3:uid="{21822C0E-52F2-4AAC-A4D9-2E7A26DE7935}" name="NOV" totalsRowFunction="sum" dataDxfId="114" totalsRowDxfId="113" dataCellStyle="Comma"/>
    <tableColumn id="13" xr3:uid="{226C138B-1EF4-438D-806C-BBF4F1BDC8ED}" name="DEC" totalsRowFunction="sum" dataDxfId="112" totalsRowDxfId="111" dataCellStyle="Comma"/>
    <tableColumn id="14" xr3:uid="{164D9639-1A25-4502-ACF9-D6683741DB8A}" name="Total" totalsRowFunction="sum" dataDxfId="110" totalsRowDxfId="109" dataCellStyle="Comma">
      <calculatedColumnFormula>SUM(B165:M165)</calculatedColumnFormula>
    </tableColumn>
    <tableColumn id="15" xr3:uid="{523E8B67-DA66-4BB2-8176-7DF81B9FAC53}" name="Monthly Avg" totalsRowFunction="sum" dataDxfId="108" totalsRowDxfId="107" dataCellStyle="Comma">
      <calculatedColumnFormula>IFERROR(AVERAGEIF(Table13[[#This Row],[JAN]:[DEC]], "&gt;0"), 0)</calculatedColumnFormula>
    </tableColumn>
    <tableColumn id="16" xr3:uid="{3AF969D6-CDAE-454B-BD41-42842DAC7922}" name="Category" dataDxfId="106" totalsRowDxfId="105" dataCellStyle="Comma"/>
  </tableColumns>
  <tableStyleInfo showFirstColumn="1" showLastColumn="0" showRowStripes="0" showColumnStripes="1"/>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B0385EC-6DD4-4280-AFB3-201AE9DCD5E9}" name="Table14" displayName="Table14" ref="A172:P176" totalsRowCount="1" headerRowDxfId="104" dataDxfId="103" totalsRowDxfId="102" dataCellStyle="Comma">
  <tableColumns count="16">
    <tableColumn id="1" xr3:uid="{A8A23503-716C-40FB-B385-39990FF7931E}" name="MISCELLANEOUS" totalsRowLabel="  TOTAL MISCELLANEOUS " dataDxfId="101" totalsRowDxfId="100" dataCellStyle="Comma"/>
    <tableColumn id="2" xr3:uid="{42FB5DE5-C0DB-47D6-88BE-B6C6796B0588}" name="JAN" totalsRowFunction="sum" dataDxfId="99" totalsRowDxfId="98" dataCellStyle="Comma"/>
    <tableColumn id="3" xr3:uid="{A01A68B3-A022-448C-8CA5-13FA28AE26BF}" name="FEB" totalsRowFunction="sum" dataDxfId="97" totalsRowDxfId="96" dataCellStyle="Comma"/>
    <tableColumn id="4" xr3:uid="{5E2839FF-23E4-4490-85AF-1480C8E7FC21}" name="MAR" totalsRowFunction="sum" dataDxfId="95" totalsRowDxfId="94" dataCellStyle="Comma"/>
    <tableColumn id="5" xr3:uid="{70A14B0F-7ABB-465A-A9C0-CDAB65200B00}" name="APR" totalsRowFunction="sum" dataDxfId="93" totalsRowDxfId="92" dataCellStyle="Comma"/>
    <tableColumn id="6" xr3:uid="{663F2ED4-3903-48D8-BBFF-A543B94110E6}" name="MAY" totalsRowFunction="sum" dataDxfId="91" totalsRowDxfId="90" dataCellStyle="Comma"/>
    <tableColumn id="7" xr3:uid="{E170ED61-35AB-4052-BDC8-2BDFBD29E922}" name="JUN" totalsRowFunction="sum" dataDxfId="89" totalsRowDxfId="88" dataCellStyle="Comma"/>
    <tableColumn id="8" xr3:uid="{826EF1C0-09AF-4275-8CBF-97BFE4F9502C}" name="JUL" totalsRowFunction="sum" dataDxfId="87" totalsRowDxfId="86" dataCellStyle="Comma"/>
    <tableColumn id="9" xr3:uid="{CF87163A-B16B-416F-A4F1-F6017F2D6C1A}" name="AUG" totalsRowFunction="sum" dataDxfId="85" totalsRowDxfId="84" dataCellStyle="Comma"/>
    <tableColumn id="10" xr3:uid="{9DF0DE1D-49C1-4429-B6A6-471BFB80B00B}" name="SEP" totalsRowFunction="sum" dataDxfId="83" totalsRowDxfId="82" dataCellStyle="Comma"/>
    <tableColumn id="11" xr3:uid="{06AE0A81-5BCF-4C73-B994-7D861D316F8C}" name="OCT" totalsRowFunction="sum" dataDxfId="81" totalsRowDxfId="80" dataCellStyle="Comma"/>
    <tableColumn id="12" xr3:uid="{30E3D487-292D-40E0-B407-7AF97A64650D}" name="NOV" totalsRowFunction="sum" dataDxfId="79" totalsRowDxfId="78" dataCellStyle="Comma"/>
    <tableColumn id="13" xr3:uid="{8C45C64D-C530-4E39-81BA-28C568639803}" name="DEC" totalsRowFunction="sum" dataDxfId="77" totalsRowDxfId="76" dataCellStyle="Comma"/>
    <tableColumn id="14" xr3:uid="{E9478A0C-953B-4F3F-9526-0F94226019A0}" name="Total" totalsRowFunction="sum" dataDxfId="75" totalsRowDxfId="74" dataCellStyle="Comma">
      <calculatedColumnFormula>SUM(B173:M173)</calculatedColumnFormula>
    </tableColumn>
    <tableColumn id="15" xr3:uid="{39BAAF1C-647C-4C2B-A418-2AD7411F3FE1}" name="Monthly Avg" totalsRowFunction="sum" dataDxfId="73" totalsRowDxfId="72" dataCellStyle="Comma">
      <calculatedColumnFormula>IFERROR(AVERAGEIF(Table14[[#This Row],[JAN]:[DEC]], "&gt;0"), 0)</calculatedColumnFormula>
    </tableColumn>
    <tableColumn id="16" xr3:uid="{1B7B9F4F-23B7-47DF-B72F-EBDBF6BAC664}" name="Category" dataDxfId="71" totalsRowDxfId="70" dataCellStyle="Comma"/>
  </tableColumns>
  <tableStyleInfo showFirstColumn="1" showLastColumn="0" showRowStripes="0" showColumnStripes="1"/>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1D24AEE-F4F3-49AC-843C-911A0B919124}" name="Table7" displayName="Table7" ref="A101:P111" totalsRowCount="1" headerRowDxfId="69" dataDxfId="68" totalsRowDxfId="67" dataCellStyle="Comma">
  <tableColumns count="16">
    <tableColumn id="1" xr3:uid="{395CAA77-6ACD-4FD7-A5DE-6F3E9C77177D}" name="CHILDREN EXPENSES" totalsRowLabel="   TOTAL CHILDREN EXP " dataDxfId="66" totalsRowDxfId="65" dataCellStyle="Comma"/>
    <tableColumn id="2" xr3:uid="{C98DCCD8-E297-4C05-9E02-C7B3B577712F}" name="JAN" totalsRowFunction="sum" dataDxfId="64" totalsRowDxfId="63" dataCellStyle="Comma"/>
    <tableColumn id="3" xr3:uid="{567AB3AB-40BC-40C3-823B-011E92568F5E}" name="FEB" totalsRowFunction="sum" dataDxfId="62" totalsRowDxfId="61" dataCellStyle="Comma"/>
    <tableColumn id="4" xr3:uid="{EE9EEC49-1FBC-4DC3-8B16-ECB57CB272AA}" name="MAR" totalsRowFunction="sum" dataDxfId="60" totalsRowDxfId="59" dataCellStyle="Comma"/>
    <tableColumn id="5" xr3:uid="{7FC663EE-0526-4D31-9B4B-75CAC83819BC}" name="APR" totalsRowFunction="sum" dataDxfId="58" totalsRowDxfId="57" dataCellStyle="Comma"/>
    <tableColumn id="6" xr3:uid="{6117DBD8-3987-48B5-B933-068F94DBDF74}" name="MAY" totalsRowFunction="sum" dataDxfId="56" totalsRowDxfId="55" dataCellStyle="Comma"/>
    <tableColumn id="7" xr3:uid="{31CF4DCF-105F-4ED8-B844-C030CB8F3029}" name="JUN" totalsRowFunction="sum" dataDxfId="54" totalsRowDxfId="53" dataCellStyle="Comma"/>
    <tableColumn id="8" xr3:uid="{D9FDA02A-85E7-4522-8DBE-DD41CEEE323A}" name="JUL" totalsRowFunction="sum" dataDxfId="52" totalsRowDxfId="51" dataCellStyle="Comma"/>
    <tableColumn id="9" xr3:uid="{A9559AD0-FBEB-4934-8F71-6BCAA82186A1}" name="AUG" totalsRowFunction="sum" dataDxfId="50" totalsRowDxfId="49" dataCellStyle="Comma"/>
    <tableColumn id="10" xr3:uid="{8503A019-BA34-4706-A91D-D019D01629AC}" name="SEP" totalsRowFunction="sum" dataDxfId="48" totalsRowDxfId="47" dataCellStyle="Comma"/>
    <tableColumn id="11" xr3:uid="{3F3B8A40-5838-476C-B693-411D7D669828}" name="OCT" totalsRowFunction="sum" dataDxfId="46" totalsRowDxfId="45" dataCellStyle="Comma"/>
    <tableColumn id="12" xr3:uid="{5203B6CB-B0C5-4BCB-A3E3-EB54D7BBD128}" name="NOV" totalsRowFunction="sum" dataDxfId="44" totalsRowDxfId="43" dataCellStyle="Comma"/>
    <tableColumn id="13" xr3:uid="{8351B897-4031-487A-8827-7855876C1E1B}" name="DEC" totalsRowFunction="sum" dataDxfId="42" totalsRowDxfId="41" dataCellStyle="Comma"/>
    <tableColumn id="14" xr3:uid="{3B0E0E82-9CE0-4C24-AFFC-A033EB734FBE}" name="Total" totalsRowFunction="sum" dataDxfId="40" totalsRowDxfId="39" dataCellStyle="Comma">
      <calculatedColumnFormula>SUM(B102:M102)</calculatedColumnFormula>
    </tableColumn>
    <tableColumn id="15" xr3:uid="{E2A22273-55D1-482B-AD1E-D760FCA1F683}" name="Monthly Avg" totalsRowFunction="sum" dataDxfId="38" totalsRowDxfId="37" dataCellStyle="Comma">
      <calculatedColumnFormula>IFERROR(AVERAGEIF(Table7[[#This Row],[JAN]:[DEC]], "&gt;0"), 0)</calculatedColumnFormula>
    </tableColumn>
    <tableColumn id="16" xr3:uid="{6F6C3523-3004-4554-B02B-C7D7172B78AA}" name="Category" dataDxfId="36" totalsRowDxfId="35" dataCellStyle="Comma"/>
  </tableColumns>
  <tableStyleInfo showFirstColumn="1" showLastColumn="0" showRowStripes="0" showColumnStripes="1"/>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33CDB870-6B5B-47D8-B58B-54F2E044DD37}" name="Table12" displayName="Table12" ref="A156:P162" totalsRowCount="1" headerRowDxfId="34" dataDxfId="33" totalsRowDxfId="32" dataCellStyle="Comma">
  <tableColumns count="16">
    <tableColumn id="1" xr3:uid="{49F2B5AD-7259-4607-A5B3-3BEF65F4D65C}" name="PROPERTY/ ASSETS" totalsRowLabel="  TOTAL SUBSCRIPTIONS " dataDxfId="31" totalsRowDxfId="30" dataCellStyle="Comma"/>
    <tableColumn id="2" xr3:uid="{00498BDA-0645-4DEC-9B38-90412A72752B}" name="JAN" totalsRowFunction="sum" dataDxfId="29" totalsRowDxfId="28" dataCellStyle="Comma"/>
    <tableColumn id="3" xr3:uid="{1D2E7FD9-D37B-4DF2-9524-0B6277EFBE66}" name="FEB" totalsRowFunction="sum" dataDxfId="27" totalsRowDxfId="26" dataCellStyle="Comma"/>
    <tableColumn id="4" xr3:uid="{1AF5BA37-86C7-4A61-A04E-75AAB7BC9EE0}" name="MAR" totalsRowFunction="sum" dataDxfId="25" totalsRowDxfId="24" dataCellStyle="Comma"/>
    <tableColumn id="5" xr3:uid="{B1DF7BA8-A6C8-45DA-8424-E85C613417B7}" name="APR" totalsRowFunction="sum" dataDxfId="23" totalsRowDxfId="22" dataCellStyle="Comma"/>
    <tableColumn id="6" xr3:uid="{CFEA9076-7ACA-4410-B925-2AE0243DD1D4}" name="MAY" totalsRowFunction="sum" dataDxfId="21" totalsRowDxfId="20" dataCellStyle="Comma"/>
    <tableColumn id="7" xr3:uid="{46409BFC-FFB2-434D-9E9F-AF651F860ABA}" name="JUN" totalsRowFunction="sum" dataDxfId="19" totalsRowDxfId="18" dataCellStyle="Comma"/>
    <tableColumn id="8" xr3:uid="{591172F1-4A03-4012-ADED-A0A70C3AF2B8}" name="JUL" totalsRowFunction="sum" dataDxfId="17" totalsRowDxfId="16" dataCellStyle="Comma"/>
    <tableColumn id="9" xr3:uid="{6D4C86F4-8090-4AD0-A5C9-6DDFC2D0C3C2}" name="AUG" totalsRowFunction="sum" dataDxfId="15" totalsRowDxfId="14" dataCellStyle="Comma"/>
    <tableColumn id="10" xr3:uid="{8F221EB1-6BBC-46D5-B038-848A2CEF219E}" name="SEP" totalsRowFunction="sum" dataDxfId="13" totalsRowDxfId="12" dataCellStyle="Comma"/>
    <tableColumn id="11" xr3:uid="{C213B729-96EA-472A-95C2-31C7750B6E61}" name="OCT" totalsRowFunction="sum" dataDxfId="11" totalsRowDxfId="10" dataCellStyle="Comma"/>
    <tableColumn id="12" xr3:uid="{46C2C40A-F81E-4AD4-9A37-2B3024A20255}" name="NOV" totalsRowFunction="sum" dataDxfId="9" totalsRowDxfId="8" dataCellStyle="Comma"/>
    <tableColumn id="13" xr3:uid="{D6837DC0-10EB-46F6-893A-F77F910D1E83}" name="DEC" totalsRowFunction="sum" dataDxfId="7" totalsRowDxfId="6" dataCellStyle="Comma"/>
    <tableColumn id="14" xr3:uid="{CC0D3AC5-8D49-4EB4-9FC7-494BC2A0FC88}" name="Total" totalsRowFunction="sum" dataDxfId="5" totalsRowDxfId="4" dataCellStyle="Comma">
      <calculatedColumnFormula>SUM(B157:M157)</calculatedColumnFormula>
    </tableColumn>
    <tableColumn id="15" xr3:uid="{400D6474-6A5C-4EB0-AC12-19B2AD3D335A}" name="Monthly Avg" totalsRowFunction="sum" dataDxfId="3" totalsRowDxfId="2" dataCellStyle="Comma">
      <calculatedColumnFormula>IFERROR(AVERAGEIF(Table12[[#This Row],[JAN]:[DEC]], "&gt;0"), 0)</calculatedColumnFormula>
    </tableColumn>
    <tableColumn id="16" xr3:uid="{076B3FA0-574B-471B-83AD-9CAD8985BA9D}" name="Category" dataDxfId="1" totalsRowDxfId="0" dataCellStyle="Comma"/>
  </tableColumns>
  <tableStyleInfo showFirstColumn="1" showLastColumn="0" showRowStripes="0" showColumn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limmarket.com/personal-finance/templates/personal-budget-excel-spreadsheet" TargetMode="External"/><Relationship Id="rId1" Type="http://schemas.openxmlformats.org/officeDocument/2006/relationships/hyperlink" Target="https://glimmarket.com/" TargetMode="Externa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4.xml"/><Relationship Id="rId13" Type="http://schemas.openxmlformats.org/officeDocument/2006/relationships/table" Target="../tables/table9.xml"/><Relationship Id="rId18" Type="http://schemas.openxmlformats.org/officeDocument/2006/relationships/table" Target="../tables/table14.xml"/><Relationship Id="rId3" Type="http://schemas.openxmlformats.org/officeDocument/2006/relationships/drawing" Target="../drawings/drawing2.xml"/><Relationship Id="rId7" Type="http://schemas.openxmlformats.org/officeDocument/2006/relationships/table" Target="../tables/table3.xml"/><Relationship Id="rId12" Type="http://schemas.openxmlformats.org/officeDocument/2006/relationships/table" Target="../tables/table8.xml"/><Relationship Id="rId17" Type="http://schemas.openxmlformats.org/officeDocument/2006/relationships/table" Target="../tables/table13.xml"/><Relationship Id="rId2" Type="http://schemas.openxmlformats.org/officeDocument/2006/relationships/printerSettings" Target="../printerSettings/printerSettings2.bin"/><Relationship Id="rId16" Type="http://schemas.openxmlformats.org/officeDocument/2006/relationships/table" Target="../tables/table12.xml"/><Relationship Id="rId1" Type="http://schemas.openxmlformats.org/officeDocument/2006/relationships/hyperlink" Target="https://glimmarket.com/" TargetMode="External"/><Relationship Id="rId6" Type="http://schemas.openxmlformats.org/officeDocument/2006/relationships/table" Target="../tables/table2.xml"/><Relationship Id="rId11" Type="http://schemas.openxmlformats.org/officeDocument/2006/relationships/table" Target="../tables/table7.xml"/><Relationship Id="rId5" Type="http://schemas.openxmlformats.org/officeDocument/2006/relationships/table" Target="../tables/table1.xml"/><Relationship Id="rId15" Type="http://schemas.openxmlformats.org/officeDocument/2006/relationships/table" Target="../tables/table11.xml"/><Relationship Id="rId10" Type="http://schemas.openxmlformats.org/officeDocument/2006/relationships/table" Target="../tables/table6.xml"/><Relationship Id="rId19" Type="http://schemas.openxmlformats.org/officeDocument/2006/relationships/comments" Target="../comments1.xml"/><Relationship Id="rId4" Type="http://schemas.openxmlformats.org/officeDocument/2006/relationships/vmlDrawing" Target="../drawings/vmlDrawing2.vml"/><Relationship Id="rId9" Type="http://schemas.openxmlformats.org/officeDocument/2006/relationships/table" Target="../tables/table5.xml"/><Relationship Id="rId14" Type="http://schemas.openxmlformats.org/officeDocument/2006/relationships/table" Target="../tables/table10.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glimmarket.com/" TargetMode="External"/><Relationship Id="rId5" Type="http://schemas.openxmlformats.org/officeDocument/2006/relationships/comments" Target="../comments2.xml"/><Relationship Id="rId4"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glimmarke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3B042-27B7-448E-BDE8-633F8760DE3A}">
  <dimension ref="B1:V31"/>
  <sheetViews>
    <sheetView showGridLines="0" tabSelected="1" workbookViewId="0">
      <selection activeCell="C11" sqref="C11:J13"/>
    </sheetView>
  </sheetViews>
  <sheetFormatPr defaultRowHeight="14" x14ac:dyDescent="0.3"/>
  <cols>
    <col min="1" max="1" width="5.1796875" style="1" customWidth="1"/>
    <col min="2" max="2" width="4.81640625" style="1" customWidth="1"/>
    <col min="3" max="10" width="8.7265625" style="1"/>
    <col min="11" max="11" width="4.54296875" style="1" customWidth="1"/>
    <col min="12" max="12" width="4.6328125" style="1" customWidth="1"/>
    <col min="13" max="13" width="3.90625" style="1" customWidth="1"/>
    <col min="14" max="16384" width="8.7265625" style="1"/>
  </cols>
  <sheetData>
    <row r="1" spans="2:22" ht="15" customHeight="1" x14ac:dyDescent="0.3"/>
    <row r="2" spans="2:22" ht="15" customHeight="1" x14ac:dyDescent="0.3">
      <c r="B2" s="2"/>
      <c r="C2" s="2"/>
      <c r="D2" s="2"/>
      <c r="E2" s="2"/>
      <c r="F2" s="2"/>
      <c r="G2" s="2"/>
      <c r="H2" s="2"/>
      <c r="I2" s="2"/>
      <c r="J2" s="2"/>
      <c r="K2" s="2"/>
      <c r="N2" s="3" t="s">
        <v>0</v>
      </c>
      <c r="O2" s="4"/>
      <c r="P2" s="4"/>
      <c r="Q2" s="4"/>
    </row>
    <row r="3" spans="2:22" x14ac:dyDescent="0.3">
      <c r="B3" s="2"/>
      <c r="C3" s="2"/>
      <c r="D3" s="2"/>
      <c r="E3" s="2"/>
      <c r="F3" s="2"/>
      <c r="G3" s="2"/>
      <c r="H3" s="2"/>
      <c r="I3" s="2"/>
      <c r="J3" s="2"/>
      <c r="K3" s="2"/>
      <c r="N3" s="100" t="s">
        <v>164</v>
      </c>
      <c r="O3" s="100"/>
      <c r="P3" s="100"/>
      <c r="Q3" s="100"/>
    </row>
    <row r="4" spans="2:22" ht="16.5" x14ac:dyDescent="0.45">
      <c r="B4" s="2"/>
      <c r="C4" s="2"/>
      <c r="D4" s="2"/>
      <c r="E4" s="2"/>
      <c r="F4" s="2"/>
      <c r="G4" s="2"/>
      <c r="H4" s="101" t="s">
        <v>148</v>
      </c>
      <c r="I4" s="101"/>
      <c r="J4" s="101"/>
      <c r="K4" s="2"/>
      <c r="N4" s="102" t="s">
        <v>163</v>
      </c>
      <c r="O4" s="102"/>
      <c r="P4" s="102"/>
      <c r="Q4" s="102"/>
    </row>
    <row r="5" spans="2:22" x14ac:dyDescent="0.3">
      <c r="B5" s="2"/>
      <c r="C5" s="2"/>
      <c r="D5" s="2"/>
      <c r="E5" s="2"/>
      <c r="F5" s="2"/>
      <c r="G5" s="2"/>
      <c r="H5" s="2"/>
      <c r="I5" s="2"/>
      <c r="J5" s="2"/>
      <c r="K5" s="2"/>
    </row>
    <row r="6" spans="2:22" ht="20" x14ac:dyDescent="0.3">
      <c r="B6" s="2"/>
      <c r="C6" s="103" t="s">
        <v>248</v>
      </c>
      <c r="D6" s="103"/>
      <c r="E6" s="103"/>
      <c r="F6" s="103"/>
      <c r="G6" s="103"/>
      <c r="H6" s="103"/>
      <c r="I6" s="103"/>
      <c r="J6" s="103"/>
      <c r="K6" s="5"/>
    </row>
    <row r="7" spans="2:22" ht="20" x14ac:dyDescent="0.3">
      <c r="B7" s="2"/>
      <c r="C7" s="103"/>
      <c r="D7" s="103"/>
      <c r="E7" s="103"/>
      <c r="F7" s="103"/>
      <c r="G7" s="103"/>
      <c r="H7" s="103"/>
      <c r="I7" s="103"/>
      <c r="J7" s="103"/>
      <c r="K7" s="5"/>
    </row>
    <row r="8" spans="2:22" ht="20" x14ac:dyDescent="0.3">
      <c r="B8" s="2"/>
      <c r="C8" s="6"/>
      <c r="D8" s="5"/>
      <c r="E8" s="5"/>
      <c r="F8" s="5"/>
      <c r="G8" s="5"/>
      <c r="H8" s="5"/>
      <c r="I8" s="5"/>
      <c r="J8" s="5"/>
      <c r="K8" s="5"/>
    </row>
    <row r="9" spans="2:22" ht="19.5" customHeight="1" x14ac:dyDescent="0.3">
      <c r="B9" s="2"/>
      <c r="C9" s="7" t="s">
        <v>165</v>
      </c>
      <c r="D9" s="5"/>
      <c r="E9" s="5"/>
      <c r="F9" s="5"/>
      <c r="G9" s="5"/>
      <c r="H9" s="5"/>
      <c r="I9" s="5"/>
      <c r="J9" s="5"/>
      <c r="K9" s="5"/>
    </row>
    <row r="10" spans="2:22" ht="14.5" thickBot="1" x14ac:dyDescent="0.35">
      <c r="B10" s="2"/>
      <c r="C10" s="2"/>
      <c r="D10" s="2"/>
      <c r="E10" s="2"/>
      <c r="F10" s="2"/>
      <c r="G10" s="2"/>
      <c r="H10" s="2"/>
      <c r="I10" s="2"/>
      <c r="J10" s="2"/>
      <c r="K10" s="2"/>
    </row>
    <row r="11" spans="2:22" ht="18" thickTop="1" x14ac:dyDescent="0.3">
      <c r="B11" s="2"/>
      <c r="C11" s="112" t="s">
        <v>188</v>
      </c>
      <c r="D11" s="113"/>
      <c r="E11" s="113"/>
      <c r="F11" s="113"/>
      <c r="G11" s="113"/>
      <c r="H11" s="113"/>
      <c r="I11" s="113"/>
      <c r="J11" s="114"/>
      <c r="K11" s="8"/>
    </row>
    <row r="12" spans="2:22" ht="17.5" x14ac:dyDescent="0.3">
      <c r="B12" s="2"/>
      <c r="C12" s="115"/>
      <c r="D12" s="116"/>
      <c r="E12" s="116"/>
      <c r="F12" s="116"/>
      <c r="G12" s="116"/>
      <c r="H12" s="116"/>
      <c r="I12" s="116"/>
      <c r="J12" s="117"/>
      <c r="K12" s="8"/>
      <c r="V12" s="1" t="s">
        <v>201</v>
      </c>
    </row>
    <row r="13" spans="2:22" ht="18" thickBot="1" x14ac:dyDescent="0.35">
      <c r="B13" s="2"/>
      <c r="C13" s="118"/>
      <c r="D13" s="119"/>
      <c r="E13" s="119"/>
      <c r="F13" s="119"/>
      <c r="G13" s="119"/>
      <c r="H13" s="119"/>
      <c r="I13" s="119"/>
      <c r="J13" s="120"/>
      <c r="K13" s="8"/>
    </row>
    <row r="14" spans="2:22" ht="11" customHeight="1" thickTop="1" x14ac:dyDescent="0.3">
      <c r="B14" s="2"/>
      <c r="C14" s="2"/>
      <c r="D14" s="2"/>
      <c r="E14" s="2"/>
      <c r="F14" s="2"/>
      <c r="G14" s="2"/>
      <c r="H14" s="2"/>
      <c r="I14" s="2"/>
      <c r="J14" s="2"/>
      <c r="K14" s="2"/>
    </row>
    <row r="15" spans="2:22" ht="23.5" customHeight="1" x14ac:dyDescent="0.3">
      <c r="B15" s="2"/>
      <c r="C15" s="45"/>
      <c r="D15" s="46"/>
      <c r="E15" s="46"/>
      <c r="F15" s="46"/>
      <c r="G15" s="46"/>
      <c r="H15" s="46"/>
      <c r="I15" s="46"/>
      <c r="J15" s="46"/>
      <c r="K15" s="9"/>
    </row>
    <row r="16" spans="2:22" x14ac:dyDescent="0.3">
      <c r="B16" s="2"/>
      <c r="C16" s="104" t="s">
        <v>161</v>
      </c>
      <c r="D16" s="105"/>
      <c r="E16" s="105"/>
      <c r="F16" s="105"/>
      <c r="G16" s="105"/>
      <c r="H16" s="105"/>
      <c r="I16" s="105"/>
      <c r="J16" s="105"/>
      <c r="K16" s="10"/>
    </row>
    <row r="17" spans="2:11" x14ac:dyDescent="0.3">
      <c r="B17" s="2"/>
      <c r="C17" s="105"/>
      <c r="D17" s="105"/>
      <c r="E17" s="105"/>
      <c r="F17" s="105"/>
      <c r="G17" s="105"/>
      <c r="H17" s="105"/>
      <c r="I17" s="105"/>
      <c r="J17" s="105"/>
      <c r="K17" s="10"/>
    </row>
    <row r="18" spans="2:11" x14ac:dyDescent="0.3">
      <c r="B18" s="2"/>
      <c r="C18" s="105"/>
      <c r="D18" s="105"/>
      <c r="E18" s="105"/>
      <c r="F18" s="105"/>
      <c r="G18" s="105"/>
      <c r="H18" s="105"/>
      <c r="I18" s="105"/>
      <c r="J18" s="105"/>
      <c r="K18" s="10"/>
    </row>
    <row r="19" spans="2:11" x14ac:dyDescent="0.3">
      <c r="B19" s="2"/>
      <c r="C19" s="105"/>
      <c r="D19" s="105"/>
      <c r="E19" s="105"/>
      <c r="F19" s="105"/>
      <c r="G19" s="105"/>
      <c r="H19" s="105"/>
      <c r="I19" s="105"/>
      <c r="J19" s="105"/>
      <c r="K19" s="10"/>
    </row>
    <row r="20" spans="2:11" x14ac:dyDescent="0.3">
      <c r="B20" s="2"/>
      <c r="C20" s="105"/>
      <c r="D20" s="105"/>
      <c r="E20" s="105"/>
      <c r="F20" s="105"/>
      <c r="G20" s="105"/>
      <c r="H20" s="105"/>
      <c r="I20" s="105"/>
      <c r="J20" s="105"/>
      <c r="K20" s="10"/>
    </row>
    <row r="21" spans="2:11" x14ac:dyDescent="0.3">
      <c r="B21" s="2"/>
      <c r="C21" s="105"/>
      <c r="D21" s="105"/>
      <c r="E21" s="105"/>
      <c r="F21" s="105"/>
      <c r="G21" s="105"/>
      <c r="H21" s="105"/>
      <c r="I21" s="105"/>
      <c r="J21" s="105"/>
      <c r="K21" s="10"/>
    </row>
    <row r="22" spans="2:11" x14ac:dyDescent="0.3">
      <c r="B22" s="2"/>
      <c r="C22" s="105"/>
      <c r="D22" s="105"/>
      <c r="E22" s="105"/>
      <c r="F22" s="105"/>
      <c r="G22" s="105"/>
      <c r="H22" s="105"/>
      <c r="I22" s="105"/>
      <c r="J22" s="105"/>
      <c r="K22" s="10"/>
    </row>
    <row r="23" spans="2:11" x14ac:dyDescent="0.3">
      <c r="B23" s="2"/>
      <c r="C23" s="105"/>
      <c r="D23" s="105"/>
      <c r="E23" s="105"/>
      <c r="F23" s="105"/>
      <c r="G23" s="105"/>
      <c r="H23" s="105"/>
      <c r="I23" s="105"/>
      <c r="J23" s="105"/>
      <c r="K23" s="10"/>
    </row>
    <row r="24" spans="2:11" x14ac:dyDescent="0.3">
      <c r="B24" s="2"/>
      <c r="C24" s="2"/>
      <c r="D24" s="2"/>
      <c r="E24" s="2"/>
      <c r="F24" s="2"/>
      <c r="G24" s="2"/>
      <c r="H24" s="2"/>
      <c r="I24" s="2"/>
      <c r="J24" s="2"/>
      <c r="K24" s="2"/>
    </row>
    <row r="25" spans="2:11" x14ac:dyDescent="0.3">
      <c r="B25" s="2"/>
      <c r="C25" s="106" t="s">
        <v>149</v>
      </c>
      <c r="D25" s="106"/>
      <c r="E25" s="106"/>
      <c r="F25" s="106"/>
      <c r="G25" s="106"/>
      <c r="H25" s="106"/>
      <c r="I25" s="106"/>
      <c r="J25" s="106"/>
      <c r="K25" s="11"/>
    </row>
    <row r="26" spans="2:11" x14ac:dyDescent="0.3">
      <c r="B26" s="2"/>
      <c r="C26" s="2"/>
      <c r="D26" s="2"/>
      <c r="E26" s="2"/>
      <c r="F26" s="2"/>
      <c r="G26" s="2"/>
      <c r="H26" s="2"/>
      <c r="I26" s="2"/>
      <c r="J26" s="2"/>
      <c r="K26" s="2"/>
    </row>
    <row r="27" spans="2:11" ht="14" customHeight="1" x14ac:dyDescent="0.3">
      <c r="B27" s="2"/>
      <c r="C27" s="99" t="s">
        <v>162</v>
      </c>
      <c r="D27" s="99"/>
      <c r="E27" s="99"/>
      <c r="F27" s="99"/>
      <c r="G27" s="99"/>
      <c r="H27" s="99"/>
      <c r="I27" s="99"/>
      <c r="J27" s="99"/>
      <c r="K27" s="2"/>
    </row>
    <row r="28" spans="2:11" x14ac:dyDescent="0.3">
      <c r="B28" s="2"/>
      <c r="C28" s="99"/>
      <c r="D28" s="99"/>
      <c r="E28" s="99"/>
      <c r="F28" s="99"/>
      <c r="G28" s="99"/>
      <c r="H28" s="99"/>
      <c r="I28" s="99"/>
      <c r="J28" s="99"/>
      <c r="K28" s="2"/>
    </row>
    <row r="29" spans="2:11" x14ac:dyDescent="0.3">
      <c r="B29" s="2"/>
      <c r="C29" s="99"/>
      <c r="D29" s="99"/>
      <c r="E29" s="99"/>
      <c r="F29" s="99"/>
      <c r="G29" s="99"/>
      <c r="H29" s="99"/>
      <c r="I29" s="99"/>
      <c r="J29" s="99"/>
      <c r="K29" s="2"/>
    </row>
    <row r="30" spans="2:11" x14ac:dyDescent="0.3">
      <c r="B30" s="2"/>
      <c r="C30" s="47"/>
      <c r="D30" s="47"/>
      <c r="E30" s="47"/>
      <c r="F30" s="47"/>
      <c r="G30" s="47"/>
      <c r="H30" s="47"/>
      <c r="I30" s="47"/>
      <c r="J30" s="47"/>
      <c r="K30" s="2"/>
    </row>
    <row r="31" spans="2:11" x14ac:dyDescent="0.3">
      <c r="B31" s="2"/>
      <c r="C31" s="2"/>
      <c r="D31" s="2"/>
      <c r="E31" s="2"/>
      <c r="F31" s="2"/>
      <c r="G31" s="2"/>
      <c r="H31" s="2"/>
      <c r="I31" s="2"/>
      <c r="J31" s="2"/>
      <c r="K31" s="2"/>
    </row>
  </sheetData>
  <sheetProtection selectLockedCells="1"/>
  <mergeCells count="8">
    <mergeCell ref="C27:J29"/>
    <mergeCell ref="N3:Q3"/>
    <mergeCell ref="H4:J4"/>
    <mergeCell ref="N4:Q4"/>
    <mergeCell ref="C6:J7"/>
    <mergeCell ref="C11:J13"/>
    <mergeCell ref="C16:J23"/>
    <mergeCell ref="C25:J25"/>
  </mergeCells>
  <hyperlinks>
    <hyperlink ref="N3:Q3" location="Budget!A1" display="Budget Sheet" xr:uid="{D0E66036-A658-40E0-97F3-B1E27EDA530F}"/>
    <hyperlink ref="H4" r:id="rId1" xr:uid="{9EBDACEA-43B8-4808-98FB-14E58B0862EA}"/>
    <hyperlink ref="N4:Q4" location="'Budget Summary'!A1" display="Budget Summary" xr:uid="{3D9FE93C-F72C-46F2-B331-F0A60A3F3C0E}"/>
    <hyperlink ref="C11:J13" r:id="rId2" display="Read More            Personal Budget Template" xr:uid="{5C278AA8-2F1D-4344-ADAA-91F1E7CDBB9D}"/>
  </hyperlinks>
  <pageMargins left="0.31496062992125984" right="0.31496062992125984" top="0.74803149606299213" bottom="0.74803149606299213" header="0.31496062992125984" footer="0.31496062992125984"/>
  <pageSetup orientation="portrait" r:id="rId3"/>
  <drawing r:id="rId4"/>
  <legacyDrawingHF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78"/>
  <sheetViews>
    <sheetView showGridLines="0" zoomScaleNormal="100" workbookViewId="0">
      <selection activeCell="D2" sqref="D2"/>
    </sheetView>
  </sheetViews>
  <sheetFormatPr defaultRowHeight="13" x14ac:dyDescent="0.3"/>
  <cols>
    <col min="1" max="1" width="29.1796875" style="12" customWidth="1"/>
    <col min="2" max="2" width="9.90625" style="12" customWidth="1"/>
    <col min="3" max="4" width="9.6328125" style="12" bestFit="1" customWidth="1"/>
    <col min="5" max="14" width="8.7265625" style="12"/>
    <col min="15" max="15" width="9.7265625" style="12" bestFit="1" customWidth="1"/>
    <col min="16" max="17" width="8.7265625" style="12"/>
    <col min="18" max="20" width="0" style="12" hidden="1" customWidth="1"/>
    <col min="21" max="16384" width="8.7265625" style="12"/>
  </cols>
  <sheetData>
    <row r="1" spans="1:16" ht="20" x14ac:dyDescent="0.4">
      <c r="A1" s="44" t="s">
        <v>249</v>
      </c>
    </row>
    <row r="2" spans="1:16" ht="14.5" x14ac:dyDescent="0.35">
      <c r="A2" s="66" t="s">
        <v>187</v>
      </c>
    </row>
    <row r="3" spans="1:16" x14ac:dyDescent="0.3">
      <c r="O3" s="68" t="s">
        <v>149</v>
      </c>
    </row>
    <row r="4" spans="1:16" x14ac:dyDescent="0.3">
      <c r="A4" s="64" t="s">
        <v>184</v>
      </c>
    </row>
    <row r="5" spans="1:16" x14ac:dyDescent="0.3">
      <c r="B5" s="20" t="s">
        <v>5</v>
      </c>
      <c r="C5" s="20" t="s">
        <v>6</v>
      </c>
      <c r="D5" s="20" t="s">
        <v>7</v>
      </c>
      <c r="E5" s="20" t="s">
        <v>8</v>
      </c>
      <c r="F5" s="20" t="s">
        <v>9</v>
      </c>
      <c r="G5" s="20" t="s">
        <v>10</v>
      </c>
      <c r="H5" s="20" t="s">
        <v>11</v>
      </c>
      <c r="I5" s="20" t="s">
        <v>12</v>
      </c>
      <c r="J5" s="20" t="s">
        <v>13</v>
      </c>
      <c r="K5" s="20" t="s">
        <v>14</v>
      </c>
      <c r="L5" s="20" t="s">
        <v>15</v>
      </c>
      <c r="M5" s="20" t="s">
        <v>16</v>
      </c>
      <c r="N5" s="30" t="s">
        <v>18</v>
      </c>
      <c r="O5" s="39" t="s">
        <v>135</v>
      </c>
    </row>
    <row r="6" spans="1:16" x14ac:dyDescent="0.3">
      <c r="A6" s="13" t="s">
        <v>17</v>
      </c>
      <c r="B6" s="14"/>
      <c r="C6" s="15">
        <f t="shared" ref="C6:M6" si="0">B10</f>
        <v>6120</v>
      </c>
      <c r="D6" s="15">
        <f t="shared" si="0"/>
        <v>13120</v>
      </c>
      <c r="E6" s="15">
        <f t="shared" si="0"/>
        <v>21400</v>
      </c>
      <c r="F6" s="15">
        <f t="shared" si="0"/>
        <v>17040</v>
      </c>
      <c r="G6" s="15">
        <f t="shared" si="0"/>
        <v>16580</v>
      </c>
      <c r="H6" s="15">
        <f t="shared" si="0"/>
        <v>14880</v>
      </c>
      <c r="I6" s="15">
        <f t="shared" si="0"/>
        <v>14080</v>
      </c>
      <c r="J6" s="15">
        <f t="shared" si="0"/>
        <v>14080</v>
      </c>
      <c r="K6" s="15">
        <f t="shared" si="0"/>
        <v>14080</v>
      </c>
      <c r="L6" s="15">
        <f t="shared" si="0"/>
        <v>14080</v>
      </c>
      <c r="M6" s="15">
        <f t="shared" si="0"/>
        <v>14080</v>
      </c>
      <c r="N6" s="37"/>
      <c r="O6" s="38"/>
    </row>
    <row r="7" spans="1:16" x14ac:dyDescent="0.3">
      <c r="A7" s="16" t="s">
        <v>3</v>
      </c>
      <c r="B7" s="17">
        <f>Table1[[#Totals],[JAN]]</f>
        <v>14400</v>
      </c>
      <c r="C7" s="17">
        <f>Table1[[#Totals],[FEB]]</f>
        <v>13500</v>
      </c>
      <c r="D7" s="17">
        <f>Table1[[#Totals],[MAR]]</f>
        <v>14200</v>
      </c>
      <c r="E7" s="17">
        <f>Table1[[#Totals],[APR]]</f>
        <v>0</v>
      </c>
      <c r="F7" s="17">
        <f>Table1[[#Totals],[MAY]]</f>
        <v>0</v>
      </c>
      <c r="G7" s="17">
        <f>Table1[[#Totals],[JUN]]</f>
        <v>0</v>
      </c>
      <c r="H7" s="17">
        <f>Table1[[#Totals],[JUL]]</f>
        <v>0</v>
      </c>
      <c r="I7" s="17">
        <f>Table1[[#Totals],[AUG]]</f>
        <v>0</v>
      </c>
      <c r="J7" s="17">
        <f>Table1[[#Totals],[SEP]]</f>
        <v>0</v>
      </c>
      <c r="K7" s="17">
        <f>Table1[[#Totals],[OCT]]</f>
        <v>0</v>
      </c>
      <c r="L7" s="17">
        <f>Table1[[#Totals],[NOV]]</f>
        <v>0</v>
      </c>
      <c r="M7" s="17">
        <f>Table1[[#Totals],[DEC]]</f>
        <v>0</v>
      </c>
      <c r="N7" s="34">
        <f t="shared" ref="N7:N9" si="1">SUM(B7:M7)</f>
        <v>42100</v>
      </c>
      <c r="O7" s="36">
        <f t="shared" ref="O7:O9" si="2">IFERROR(AVERAGEIF(B7:M7, "&gt;0"), 0)</f>
        <v>14033.333333333334</v>
      </c>
    </row>
    <row r="8" spans="1:16" x14ac:dyDescent="0.3">
      <c r="A8" s="16" t="s">
        <v>1</v>
      </c>
      <c r="B8" s="17">
        <f>Table2[[#Totals],[JAN]]+Table3[[#Totals],[JAN]]+Table4[[#Totals],[JAN]]+Table5[[#Totals],[JAN]]+Table6[[#Totals],[JAN]]+Table8[[#Totals],[JAN]]+Table9[[#Totals],[JAN]]+Table10[[#Totals],[JAN]]+Table11[[#Totals],[JAN]]+Table13[[#Totals],[JAN]]+Table14[[#Totals],[JAN]]+Table7[[#Totals],[JAN]]+Table12[[#Totals],[JAN]]</f>
        <v>8280</v>
      </c>
      <c r="C8" s="17">
        <f>Table2[[#Totals],[FEB]]+Table3[[#Totals],[FEB]]+Table4[[#Totals],[FEB]]+Table5[[#Totals],[FEB]]+Table6[[#Totals],[FEB]]+Table8[[#Totals],[FEB]]+Table9[[#Totals],[FEB]]+Table10[[#Totals],[FEB]]+Table11[[#Totals],[FEB]]+Table13[[#Totals],[FEB]]+Table14[[#Totals],[FEB]]+Table7[[#Totals],[FEB]]+Table12[[#Totals],[FEB]]</f>
        <v>6500</v>
      </c>
      <c r="D8" s="17">
        <f>Table2[[#Totals],[MAR]]+Table3[[#Totals],[MAR]]+Table4[[#Totals],[MAR]]+Table5[[#Totals],[MAR]]+Table6[[#Totals],[MAR]]+Table8[[#Totals],[MAR]]+Table9[[#Totals],[MAR]]+Table10[[#Totals],[MAR]]+Table11[[#Totals],[MAR]]+Table13[[#Totals],[MAR]]+Table14[[#Totals],[MAR]]+Table7[[#Totals],[MAR]]+Table12[[#Totals],[MAR]]</f>
        <v>5920</v>
      </c>
      <c r="E8" s="17">
        <f>Table2[[#Totals],[APR]]+Table3[[#Totals],[APR]]+Table4[[#Totals],[APR]]+Table5[[#Totals],[APR]]+Table6[[#Totals],[APR]]+Table8[[#Totals],[APR]]+Table9[[#Totals],[APR]]+Table10[[#Totals],[APR]]+Table11[[#Totals],[APR]]+Table13[[#Totals],[APR]]+Table14[[#Totals],[APR]]+Table7[[#Totals],[APR]]+Table12[[#Totals],[APR]]</f>
        <v>4360</v>
      </c>
      <c r="F8" s="17">
        <f>Table2[[#Totals],[MAY]]+Table3[[#Totals],[MAY]]+Table4[[#Totals],[MAY]]+Table5[[#Totals],[MAY]]+Table6[[#Totals],[MAY]]+Table8[[#Totals],[MAY]]+Table9[[#Totals],[MAY]]+Table10[[#Totals],[MAY]]+Table11[[#Totals],[MAY]]+Table13[[#Totals],[MAY]]+Table14[[#Totals],[MAY]]+Table7[[#Totals],[MAY]]+Table12[[#Totals],[MAY]]</f>
        <v>460</v>
      </c>
      <c r="G8" s="17">
        <f>Table2[[#Totals],[JUN]]+Table3[[#Totals],[JUN]]+Table4[[#Totals],[JUN]]+Table5[[#Totals],[JUN]]+Table6[[#Totals],[JUN]]+Table8[[#Totals],[JUN]]+Table9[[#Totals],[JUN]]+Table10[[#Totals],[JUN]]+Table11[[#Totals],[JUN]]+Table13[[#Totals],[JUN]]+Table14[[#Totals],[JUN]]+Table7[[#Totals],[JUN]]+Table12[[#Totals],[JUN]]</f>
        <v>1700</v>
      </c>
      <c r="H8" s="17">
        <f>Table2[[#Totals],[JUL]]+Table3[[#Totals],[JUL]]+Table4[[#Totals],[JUL]]+Table5[[#Totals],[JUL]]+Table6[[#Totals],[JUL]]+Table8[[#Totals],[JUL]]+Table9[[#Totals],[JUL]]+Table10[[#Totals],[JUL]]+Table11[[#Totals],[JUL]]+Table13[[#Totals],[JUL]]+Table14[[#Totals],[JUL]]+Table7[[#Totals],[JUL]]+Table12[[#Totals],[JUL]]</f>
        <v>800</v>
      </c>
      <c r="I8" s="17">
        <f>Table2[[#Totals],[AUG]]+Table3[[#Totals],[AUG]]+Table4[[#Totals],[AUG]]+Table5[[#Totals],[AUG]]+Table6[[#Totals],[AUG]]+Table8[[#Totals],[AUG]]+Table9[[#Totals],[AUG]]+Table10[[#Totals],[AUG]]+Table11[[#Totals],[AUG]]+Table13[[#Totals],[AUG]]+Table14[[#Totals],[AUG]]+Table7[[#Totals],[AUG]]+Table12[[#Totals],[AUG]]</f>
        <v>0</v>
      </c>
      <c r="J8" s="17">
        <f>Table2[[#Totals],[SEP]]+Table3[[#Totals],[SEP]]+Table4[[#Totals],[SEP]]+Table5[[#Totals],[SEP]]+Table6[[#Totals],[SEP]]+Table8[[#Totals],[SEP]]+Table9[[#Totals],[SEP]]+Table10[[#Totals],[SEP]]+Table11[[#Totals],[SEP]]+Table13[[#Totals],[SEP]]+Table14[[#Totals],[SEP]]+Table7[[#Totals],[SEP]]+Table12[[#Totals],[SEP]]</f>
        <v>0</v>
      </c>
      <c r="K8" s="17">
        <f>Table2[[#Totals],[OCT]]+Table3[[#Totals],[OCT]]+Table4[[#Totals],[OCT]]+Table5[[#Totals],[OCT]]+Table6[[#Totals],[OCT]]+Table8[[#Totals],[OCT]]+Table9[[#Totals],[OCT]]+Table10[[#Totals],[OCT]]+Table11[[#Totals],[OCT]]+Table13[[#Totals],[OCT]]+Table14[[#Totals],[OCT]]+Table7[[#Totals],[OCT]]+Table12[[#Totals],[OCT]]</f>
        <v>0</v>
      </c>
      <c r="L8" s="17">
        <f>Table2[[#Totals],[NOV]]+Table3[[#Totals],[NOV]]+Table4[[#Totals],[NOV]]+Table5[[#Totals],[NOV]]+Table6[[#Totals],[NOV]]+Table8[[#Totals],[NOV]]+Table9[[#Totals],[NOV]]+Table10[[#Totals],[NOV]]+Table11[[#Totals],[NOV]]+Table13[[#Totals],[NOV]]+Table14[[#Totals],[NOV]]+Table7[[#Totals],[NOV]]+Table12[[#Totals],[NOV]]</f>
        <v>0</v>
      </c>
      <c r="M8" s="17">
        <f>Table2[[#Totals],[DEC]]+Table3[[#Totals],[DEC]]+Table4[[#Totals],[DEC]]+Table5[[#Totals],[DEC]]+Table6[[#Totals],[DEC]]+Table8[[#Totals],[DEC]]+Table9[[#Totals],[DEC]]+Table10[[#Totals],[DEC]]+Table11[[#Totals],[DEC]]+Table13[[#Totals],[DEC]]+Table14[[#Totals],[DEC]]+Table7[[#Totals],[DEC]]+Table12[[#Totals],[DEC]]</f>
        <v>700</v>
      </c>
      <c r="N8" s="34">
        <f t="shared" si="1"/>
        <v>28720</v>
      </c>
      <c r="O8" s="33">
        <f t="shared" si="2"/>
        <v>3590</v>
      </c>
    </row>
    <row r="9" spans="1:16" ht="13.5" thickBot="1" x14ac:dyDescent="0.35">
      <c r="A9" s="13" t="s">
        <v>2</v>
      </c>
      <c r="B9" s="18">
        <f>B7-B8</f>
        <v>6120</v>
      </c>
      <c r="C9" s="18">
        <f t="shared" ref="C9:M9" si="3">C7-C8</f>
        <v>7000</v>
      </c>
      <c r="D9" s="18">
        <f t="shared" si="3"/>
        <v>8280</v>
      </c>
      <c r="E9" s="18">
        <f t="shared" si="3"/>
        <v>-4360</v>
      </c>
      <c r="F9" s="18">
        <f t="shared" si="3"/>
        <v>-460</v>
      </c>
      <c r="G9" s="18">
        <f t="shared" si="3"/>
        <v>-1700</v>
      </c>
      <c r="H9" s="18">
        <f t="shared" si="3"/>
        <v>-800</v>
      </c>
      <c r="I9" s="18">
        <f t="shared" si="3"/>
        <v>0</v>
      </c>
      <c r="J9" s="18">
        <f t="shared" si="3"/>
        <v>0</v>
      </c>
      <c r="K9" s="18">
        <f t="shared" si="3"/>
        <v>0</v>
      </c>
      <c r="L9" s="18">
        <f t="shared" si="3"/>
        <v>0</v>
      </c>
      <c r="M9" s="18">
        <f t="shared" si="3"/>
        <v>-700</v>
      </c>
      <c r="N9" s="35">
        <f t="shared" si="1"/>
        <v>13380</v>
      </c>
      <c r="O9" s="35">
        <f t="shared" si="2"/>
        <v>7133.333333333333</v>
      </c>
    </row>
    <row r="10" spans="1:16" ht="13.5" thickTop="1" x14ac:dyDescent="0.3">
      <c r="A10" s="19" t="s">
        <v>4</v>
      </c>
      <c r="B10" s="15">
        <f t="shared" ref="B10:M10" si="4">B6+B9</f>
        <v>6120</v>
      </c>
      <c r="C10" s="15">
        <f t="shared" si="4"/>
        <v>13120</v>
      </c>
      <c r="D10" s="15">
        <f t="shared" si="4"/>
        <v>21400</v>
      </c>
      <c r="E10" s="15">
        <f t="shared" si="4"/>
        <v>17040</v>
      </c>
      <c r="F10" s="15">
        <f t="shared" si="4"/>
        <v>16580</v>
      </c>
      <c r="G10" s="15">
        <f t="shared" si="4"/>
        <v>14880</v>
      </c>
      <c r="H10" s="15">
        <f t="shared" si="4"/>
        <v>14080</v>
      </c>
      <c r="I10" s="15">
        <f t="shared" si="4"/>
        <v>14080</v>
      </c>
      <c r="J10" s="15">
        <f t="shared" si="4"/>
        <v>14080</v>
      </c>
      <c r="K10" s="15">
        <f t="shared" si="4"/>
        <v>14080</v>
      </c>
      <c r="L10" s="15">
        <f t="shared" si="4"/>
        <v>14080</v>
      </c>
      <c r="M10" s="15">
        <f t="shared" si="4"/>
        <v>13380</v>
      </c>
    </row>
    <row r="12" spans="1:16" x14ac:dyDescent="0.3">
      <c r="A12" s="43" t="s">
        <v>185</v>
      </c>
    </row>
    <row r="13" spans="1:16" ht="7.5" customHeight="1" x14ac:dyDescent="0.3"/>
    <row r="14" spans="1:16" x14ac:dyDescent="0.3">
      <c r="A14" s="21" t="s">
        <v>134</v>
      </c>
      <c r="B14" s="20" t="s">
        <v>5</v>
      </c>
      <c r="C14" s="20" t="s">
        <v>6</v>
      </c>
      <c r="D14" s="20" t="s">
        <v>7</v>
      </c>
      <c r="E14" s="20" t="s">
        <v>8</v>
      </c>
      <c r="F14" s="20" t="s">
        <v>9</v>
      </c>
      <c r="G14" s="20" t="s">
        <v>10</v>
      </c>
      <c r="H14" s="20" t="s">
        <v>11</v>
      </c>
      <c r="I14" s="20" t="s">
        <v>12</v>
      </c>
      <c r="J14" s="20" t="s">
        <v>13</v>
      </c>
      <c r="K14" s="20" t="s">
        <v>14</v>
      </c>
      <c r="L14" s="20" t="s">
        <v>15</v>
      </c>
      <c r="M14" s="20" t="s">
        <v>16</v>
      </c>
      <c r="N14" s="30" t="s">
        <v>18</v>
      </c>
      <c r="O14" s="39" t="s">
        <v>147</v>
      </c>
      <c r="P14" s="71" t="s">
        <v>190</v>
      </c>
    </row>
    <row r="15" spans="1:16" x14ac:dyDescent="0.3">
      <c r="A15" s="22" t="s">
        <v>22</v>
      </c>
      <c r="B15" s="25">
        <v>12000</v>
      </c>
      <c r="C15" s="25">
        <v>12000</v>
      </c>
      <c r="D15" s="25">
        <v>12000</v>
      </c>
      <c r="E15" s="25"/>
      <c r="F15" s="25"/>
      <c r="G15" s="25"/>
      <c r="H15" s="25"/>
      <c r="I15" s="25"/>
      <c r="J15" s="25"/>
      <c r="K15" s="25"/>
      <c r="L15" s="25"/>
      <c r="M15" s="25"/>
      <c r="N15" s="40">
        <f t="shared" ref="N15:N36" si="5">SUM(B15:M15)</f>
        <v>36000</v>
      </c>
      <c r="O15" s="40">
        <f>IFERROR(AVERAGEIF(Table1[[#This Row],[JAN]:[DEC]], "&gt;0"), 0)</f>
        <v>12000</v>
      </c>
      <c r="P15" s="70"/>
    </row>
    <row r="16" spans="1:16" x14ac:dyDescent="0.3">
      <c r="A16" s="22" t="s">
        <v>23</v>
      </c>
      <c r="B16" s="25">
        <v>2400</v>
      </c>
      <c r="C16" s="25">
        <v>1500</v>
      </c>
      <c r="D16" s="25">
        <v>2200</v>
      </c>
      <c r="E16" s="25"/>
      <c r="F16" s="25"/>
      <c r="G16" s="25"/>
      <c r="H16" s="25"/>
      <c r="I16" s="25"/>
      <c r="J16" s="25"/>
      <c r="K16" s="25"/>
      <c r="L16" s="25"/>
      <c r="M16" s="25"/>
      <c r="N16" s="40">
        <f t="shared" si="5"/>
        <v>6100</v>
      </c>
      <c r="O16" s="40">
        <f>IFERROR(AVERAGEIF(Table1[[#This Row],[JAN]:[DEC]], "&gt;0"), 0)</f>
        <v>2033.3333333333333</v>
      </c>
      <c r="P16" s="70"/>
    </row>
    <row r="17" spans="1:18" x14ac:dyDescent="0.3">
      <c r="A17" s="22" t="s">
        <v>24</v>
      </c>
      <c r="B17" s="25"/>
      <c r="C17" s="25"/>
      <c r="D17" s="25"/>
      <c r="E17" s="25"/>
      <c r="F17" s="25"/>
      <c r="G17" s="25"/>
      <c r="H17" s="25"/>
      <c r="I17" s="25"/>
      <c r="J17" s="25"/>
      <c r="K17" s="25"/>
      <c r="L17" s="25"/>
      <c r="M17" s="25"/>
      <c r="N17" s="40">
        <f t="shared" si="5"/>
        <v>0</v>
      </c>
      <c r="O17" s="40">
        <f>IFERROR(AVERAGEIF(Table1[[#This Row],[JAN]:[DEC]], "&gt;0"), 0)</f>
        <v>0</v>
      </c>
      <c r="P17" s="70"/>
    </row>
    <row r="18" spans="1:18" x14ac:dyDescent="0.3">
      <c r="A18" s="22" t="s">
        <v>19</v>
      </c>
      <c r="B18" s="25"/>
      <c r="C18" s="25"/>
      <c r="D18" s="25"/>
      <c r="E18" s="25"/>
      <c r="F18" s="25"/>
      <c r="G18" s="25"/>
      <c r="H18" s="25"/>
      <c r="I18" s="25"/>
      <c r="J18" s="25"/>
      <c r="K18" s="25"/>
      <c r="L18" s="25"/>
      <c r="M18" s="25"/>
      <c r="N18" s="40">
        <f t="shared" si="5"/>
        <v>0</v>
      </c>
      <c r="O18" s="40">
        <f>IFERROR(AVERAGEIF(Table1[[#This Row],[JAN]:[DEC]], "&gt;0"), 0)</f>
        <v>0</v>
      </c>
      <c r="P18" s="70"/>
    </row>
    <row r="19" spans="1:18" x14ac:dyDescent="0.3">
      <c r="A19" s="22" t="s">
        <v>25</v>
      </c>
      <c r="B19" s="25"/>
      <c r="C19" s="25"/>
      <c r="D19" s="25"/>
      <c r="E19" s="25"/>
      <c r="F19" s="25"/>
      <c r="G19" s="25"/>
      <c r="H19" s="25"/>
      <c r="I19" s="25"/>
      <c r="J19" s="25"/>
      <c r="K19" s="25"/>
      <c r="L19" s="25"/>
      <c r="M19" s="25"/>
      <c r="N19" s="40">
        <f t="shared" si="5"/>
        <v>0</v>
      </c>
      <c r="O19" s="40">
        <f>IFERROR(AVERAGEIF(Table1[[#This Row],[JAN]:[DEC]], "&gt;0"), 0)</f>
        <v>0</v>
      </c>
      <c r="P19" s="70"/>
    </row>
    <row r="20" spans="1:18" x14ac:dyDescent="0.3">
      <c r="A20" s="22" t="s">
        <v>20</v>
      </c>
      <c r="B20" s="25"/>
      <c r="C20" s="25"/>
      <c r="D20" s="25"/>
      <c r="E20" s="25"/>
      <c r="F20" s="25"/>
      <c r="G20" s="25"/>
      <c r="H20" s="25"/>
      <c r="I20" s="25"/>
      <c r="J20" s="25"/>
      <c r="K20" s="25"/>
      <c r="L20" s="25"/>
      <c r="M20" s="25"/>
      <c r="N20" s="40">
        <f t="shared" si="5"/>
        <v>0</v>
      </c>
      <c r="O20" s="40">
        <f>IFERROR(AVERAGEIF(Table1[[#This Row],[JAN]:[DEC]], "&gt;0"), 0)</f>
        <v>0</v>
      </c>
      <c r="P20" s="70"/>
    </row>
    <row r="21" spans="1:18" x14ac:dyDescent="0.3">
      <c r="A21" s="24" t="s">
        <v>26</v>
      </c>
      <c r="B21" s="25"/>
      <c r="C21" s="25"/>
      <c r="D21" s="25"/>
      <c r="E21" s="25"/>
      <c r="F21" s="25"/>
      <c r="G21" s="25"/>
      <c r="H21" s="25"/>
      <c r="I21" s="25"/>
      <c r="J21" s="25"/>
      <c r="K21" s="25"/>
      <c r="L21" s="25"/>
      <c r="M21" s="26"/>
      <c r="N21" s="41">
        <f t="shared" ref="N21:N27" si="6">SUM(B21:M21)</f>
        <v>0</v>
      </c>
      <c r="O21" s="40">
        <f>IFERROR(AVERAGEIF(Table1[[#This Row],[JAN]:[DEC]], "&gt;0"), 0)</f>
        <v>0</v>
      </c>
      <c r="P21" s="70"/>
    </row>
    <row r="22" spans="1:18" x14ac:dyDescent="0.3">
      <c r="A22" s="24" t="s">
        <v>27</v>
      </c>
      <c r="B22" s="25"/>
      <c r="C22" s="25"/>
      <c r="D22" s="25"/>
      <c r="E22" s="25"/>
      <c r="F22" s="25"/>
      <c r="G22" s="25"/>
      <c r="H22" s="25"/>
      <c r="I22" s="25"/>
      <c r="J22" s="25"/>
      <c r="K22" s="25"/>
      <c r="L22" s="25"/>
      <c r="M22" s="26"/>
      <c r="N22" s="41">
        <f t="shared" si="6"/>
        <v>0</v>
      </c>
      <c r="O22" s="40">
        <f>IFERROR(AVERAGEIF(Table1[[#This Row],[JAN]:[DEC]], "&gt;0"), 0)</f>
        <v>0</v>
      </c>
      <c r="P22" s="70"/>
    </row>
    <row r="23" spans="1:18" x14ac:dyDescent="0.3">
      <c r="A23" s="24" t="s">
        <v>28</v>
      </c>
      <c r="B23" s="25"/>
      <c r="C23" s="25"/>
      <c r="D23" s="25"/>
      <c r="E23" s="25"/>
      <c r="F23" s="25"/>
      <c r="G23" s="25"/>
      <c r="H23" s="25"/>
      <c r="I23" s="25"/>
      <c r="J23" s="25"/>
      <c r="K23" s="25"/>
      <c r="L23" s="25"/>
      <c r="M23" s="26"/>
      <c r="N23" s="41">
        <f t="shared" si="6"/>
        <v>0</v>
      </c>
      <c r="O23" s="40">
        <f>IFERROR(AVERAGEIF(Table1[[#This Row],[JAN]:[DEC]], "&gt;0"), 0)</f>
        <v>0</v>
      </c>
      <c r="P23" s="70"/>
    </row>
    <row r="24" spans="1:18" x14ac:dyDescent="0.3">
      <c r="A24" s="24" t="s">
        <v>29</v>
      </c>
      <c r="B24" s="25"/>
      <c r="C24" s="25"/>
      <c r="D24" s="25"/>
      <c r="E24" s="25"/>
      <c r="F24" s="25"/>
      <c r="G24" s="25"/>
      <c r="H24" s="25"/>
      <c r="I24" s="25"/>
      <c r="J24" s="25"/>
      <c r="K24" s="25"/>
      <c r="L24" s="25"/>
      <c r="M24" s="26"/>
      <c r="N24" s="41">
        <f t="shared" si="6"/>
        <v>0</v>
      </c>
      <c r="O24" s="40">
        <f>IFERROR(AVERAGEIF(Table1[[#This Row],[JAN]:[DEC]], "&gt;0"), 0)</f>
        <v>0</v>
      </c>
      <c r="P24" s="70"/>
    </row>
    <row r="25" spans="1:18" x14ac:dyDescent="0.3">
      <c r="A25" s="24" t="s">
        <v>30</v>
      </c>
      <c r="B25" s="25"/>
      <c r="C25" s="25"/>
      <c r="D25" s="25"/>
      <c r="E25" s="25"/>
      <c r="F25" s="25"/>
      <c r="G25" s="25"/>
      <c r="H25" s="25"/>
      <c r="I25" s="25"/>
      <c r="J25" s="25"/>
      <c r="K25" s="25"/>
      <c r="L25" s="25"/>
      <c r="M25" s="26"/>
      <c r="N25" s="41">
        <f t="shared" si="6"/>
        <v>0</v>
      </c>
      <c r="O25" s="40">
        <f>IFERROR(AVERAGEIF(Table1[[#This Row],[JAN]:[DEC]], "&gt;0"), 0)</f>
        <v>0</v>
      </c>
      <c r="P25" s="70"/>
    </row>
    <row r="26" spans="1:18" x14ac:dyDescent="0.3">
      <c r="A26" s="24" t="s">
        <v>183</v>
      </c>
      <c r="B26" s="25"/>
      <c r="C26" s="25"/>
      <c r="D26" s="25"/>
      <c r="E26" s="25"/>
      <c r="F26" s="25"/>
      <c r="G26" s="25"/>
      <c r="H26" s="25"/>
      <c r="I26" s="25"/>
      <c r="J26" s="25"/>
      <c r="K26" s="25"/>
      <c r="L26" s="25"/>
      <c r="M26" s="26"/>
      <c r="N26" s="41">
        <f>SUM(B26:M26)</f>
        <v>0</v>
      </c>
      <c r="O26" s="41">
        <f>IFERROR(AVERAGEIF(Table1[[#This Row],[JAN]:[DEC]], "&gt;0"), 0)</f>
        <v>0</v>
      </c>
      <c r="P26" s="70"/>
      <c r="R26" s="12" t="s">
        <v>191</v>
      </c>
    </row>
    <row r="27" spans="1:18" x14ac:dyDescent="0.3">
      <c r="A27" s="24" t="s">
        <v>31</v>
      </c>
      <c r="B27" s="25"/>
      <c r="C27" s="25"/>
      <c r="D27" s="25"/>
      <c r="E27" s="25"/>
      <c r="F27" s="25"/>
      <c r="G27" s="25"/>
      <c r="H27" s="25"/>
      <c r="I27" s="25"/>
      <c r="J27" s="25"/>
      <c r="K27" s="25"/>
      <c r="L27" s="25"/>
      <c r="M27" s="26"/>
      <c r="N27" s="41">
        <f t="shared" si="6"/>
        <v>0</v>
      </c>
      <c r="O27" s="40">
        <f>IFERROR(AVERAGEIF(Table1[[#This Row],[JAN]:[DEC]], "&gt;0"), 0)</f>
        <v>0</v>
      </c>
      <c r="P27" s="70"/>
      <c r="R27" s="12" t="s">
        <v>192</v>
      </c>
    </row>
    <row r="28" spans="1:18" x14ac:dyDescent="0.3">
      <c r="A28" s="12" t="s">
        <v>32</v>
      </c>
      <c r="B28" s="25"/>
      <c r="C28" s="25"/>
      <c r="D28" s="25"/>
      <c r="E28" s="25"/>
      <c r="F28" s="25"/>
      <c r="G28" s="25"/>
      <c r="H28" s="25"/>
      <c r="I28" s="25"/>
      <c r="J28" s="25"/>
      <c r="K28" s="25"/>
      <c r="L28" s="25"/>
      <c r="M28" s="26"/>
      <c r="N28" s="41">
        <f t="shared" ref="N28:N33" si="7">SUM(B28:M28)</f>
        <v>0</v>
      </c>
      <c r="O28" s="40">
        <f>IFERROR(AVERAGEIF(Table1[[#This Row],[JAN]:[DEC]], "&gt;0"), 0)</f>
        <v>0</v>
      </c>
      <c r="P28" s="70"/>
      <c r="R28" s="12" t="s">
        <v>193</v>
      </c>
    </row>
    <row r="29" spans="1:18" x14ac:dyDescent="0.3">
      <c r="A29" s="12" t="s">
        <v>33</v>
      </c>
      <c r="B29" s="25"/>
      <c r="C29" s="25"/>
      <c r="D29" s="25"/>
      <c r="E29" s="25"/>
      <c r="F29" s="25"/>
      <c r="G29" s="25"/>
      <c r="H29" s="25"/>
      <c r="I29" s="25"/>
      <c r="J29" s="25"/>
      <c r="K29" s="25"/>
      <c r="L29" s="25"/>
      <c r="M29" s="26"/>
      <c r="N29" s="41">
        <f t="shared" si="7"/>
        <v>0</v>
      </c>
      <c r="O29" s="40">
        <f>IFERROR(AVERAGEIF(Table1[[#This Row],[JAN]:[DEC]], "&gt;0"), 0)</f>
        <v>0</v>
      </c>
      <c r="P29" s="70"/>
    </row>
    <row r="30" spans="1:18" x14ac:dyDescent="0.3">
      <c r="A30" s="12" t="s">
        <v>34</v>
      </c>
      <c r="B30" s="25"/>
      <c r="C30" s="25"/>
      <c r="D30" s="25"/>
      <c r="E30" s="25"/>
      <c r="F30" s="25"/>
      <c r="G30" s="25"/>
      <c r="H30" s="25"/>
      <c r="I30" s="25"/>
      <c r="J30" s="25"/>
      <c r="K30" s="25"/>
      <c r="L30" s="25"/>
      <c r="M30" s="26"/>
      <c r="N30" s="41">
        <f t="shared" si="7"/>
        <v>0</v>
      </c>
      <c r="O30" s="40">
        <f>IFERROR(AVERAGEIF(Table1[[#This Row],[JAN]:[DEC]], "&gt;0"), 0)</f>
        <v>0</v>
      </c>
      <c r="P30" s="70"/>
    </row>
    <row r="31" spans="1:18" x14ac:dyDescent="0.3">
      <c r="A31" s="12" t="s">
        <v>35</v>
      </c>
      <c r="B31" s="25"/>
      <c r="C31" s="25"/>
      <c r="D31" s="25"/>
      <c r="E31" s="25"/>
      <c r="F31" s="25"/>
      <c r="G31" s="25"/>
      <c r="H31" s="25"/>
      <c r="I31" s="25"/>
      <c r="J31" s="25"/>
      <c r="K31" s="25"/>
      <c r="L31" s="25"/>
      <c r="M31" s="26"/>
      <c r="N31" s="41">
        <f t="shared" si="7"/>
        <v>0</v>
      </c>
      <c r="O31" s="40">
        <f>IFERROR(AVERAGEIF(Table1[[#This Row],[JAN]:[DEC]], "&gt;0"), 0)</f>
        <v>0</v>
      </c>
      <c r="P31" s="70"/>
    </row>
    <row r="32" spans="1:18" x14ac:dyDescent="0.3">
      <c r="A32" s="12" t="s">
        <v>36</v>
      </c>
      <c r="B32" s="25"/>
      <c r="C32" s="25"/>
      <c r="D32" s="25"/>
      <c r="E32" s="25"/>
      <c r="F32" s="25"/>
      <c r="G32" s="25"/>
      <c r="H32" s="25"/>
      <c r="I32" s="25"/>
      <c r="J32" s="25"/>
      <c r="K32" s="25"/>
      <c r="L32" s="25"/>
      <c r="M32" s="26"/>
      <c r="N32" s="41">
        <f t="shared" si="7"/>
        <v>0</v>
      </c>
      <c r="O32" s="40">
        <f>IFERROR(AVERAGEIF(Table1[[#This Row],[JAN]:[DEC]], "&gt;0"), 0)</f>
        <v>0</v>
      </c>
      <c r="P32" s="70"/>
    </row>
    <row r="33" spans="1:20" x14ac:dyDescent="0.3">
      <c r="A33" s="24" t="s">
        <v>37</v>
      </c>
      <c r="B33" s="25"/>
      <c r="C33" s="25"/>
      <c r="D33" s="25"/>
      <c r="E33" s="25"/>
      <c r="F33" s="25"/>
      <c r="G33" s="25"/>
      <c r="H33" s="25"/>
      <c r="I33" s="25"/>
      <c r="J33" s="25"/>
      <c r="K33" s="25"/>
      <c r="L33" s="25"/>
      <c r="M33" s="26"/>
      <c r="N33" s="41">
        <f t="shared" si="7"/>
        <v>0</v>
      </c>
      <c r="O33" s="40">
        <f>IFERROR(AVERAGEIF(Table1[[#This Row],[JAN]:[DEC]], "&gt;0"), 0)</f>
        <v>0</v>
      </c>
      <c r="P33" s="70"/>
    </row>
    <row r="34" spans="1:20" x14ac:dyDescent="0.3">
      <c r="A34" s="12" t="s">
        <v>38</v>
      </c>
      <c r="B34" s="25"/>
      <c r="C34" s="25"/>
      <c r="D34" s="25"/>
      <c r="E34" s="25"/>
      <c r="F34" s="25"/>
      <c r="G34" s="25"/>
      <c r="H34" s="25"/>
      <c r="I34" s="25"/>
      <c r="J34" s="25"/>
      <c r="K34" s="25"/>
      <c r="L34" s="25"/>
      <c r="M34" s="26"/>
      <c r="N34" s="41">
        <f t="shared" ref="N34:N35" si="8">SUM(B34:M34)</f>
        <v>0</v>
      </c>
      <c r="O34" s="40">
        <f>IFERROR(AVERAGEIF(Table1[[#This Row],[JAN]:[DEC]], "&gt;0"), 0)</f>
        <v>0</v>
      </c>
      <c r="P34" s="70"/>
    </row>
    <row r="35" spans="1:20" x14ac:dyDescent="0.3">
      <c r="A35" s="12" t="s">
        <v>39</v>
      </c>
      <c r="B35" s="25"/>
      <c r="C35" s="25"/>
      <c r="D35" s="25"/>
      <c r="E35" s="25"/>
      <c r="F35" s="25"/>
      <c r="G35" s="25"/>
      <c r="H35" s="25"/>
      <c r="I35" s="25"/>
      <c r="J35" s="25"/>
      <c r="K35" s="25"/>
      <c r="L35" s="25"/>
      <c r="M35" s="26"/>
      <c r="N35" s="41">
        <f t="shared" si="8"/>
        <v>0</v>
      </c>
      <c r="O35" s="40">
        <f>IFERROR(AVERAGEIF(Table1[[#This Row],[JAN]:[DEC]], "&gt;0"), 0)</f>
        <v>0</v>
      </c>
      <c r="P35" s="70"/>
    </row>
    <row r="36" spans="1:20" x14ac:dyDescent="0.3">
      <c r="A36" s="22" t="s">
        <v>21</v>
      </c>
      <c r="B36" s="25"/>
      <c r="C36" s="25"/>
      <c r="D36" s="25"/>
      <c r="E36" s="25"/>
      <c r="F36" s="25"/>
      <c r="G36" s="25"/>
      <c r="H36" s="25"/>
      <c r="I36" s="25"/>
      <c r="J36" s="25"/>
      <c r="K36" s="25"/>
      <c r="L36" s="25"/>
      <c r="M36" s="26"/>
      <c r="N36" s="40">
        <f t="shared" si="5"/>
        <v>0</v>
      </c>
      <c r="O36" s="40">
        <f>IFERROR(AVERAGEIF(Table1[[#This Row],[JAN]:[DEC]], "&gt;0"), 0)</f>
        <v>0</v>
      </c>
      <c r="P36" s="70"/>
    </row>
    <row r="37" spans="1:20" ht="13.5" thickBot="1" x14ac:dyDescent="0.35">
      <c r="A37" s="29" t="s">
        <v>40</v>
      </c>
      <c r="B37" s="42">
        <f>SUBTOTAL(109,Table1[JAN])</f>
        <v>14400</v>
      </c>
      <c r="C37" s="42">
        <f>SUBTOTAL(109,Table1[FEB])</f>
        <v>13500</v>
      </c>
      <c r="D37" s="42">
        <f>SUBTOTAL(109,Table1[MAR])</f>
        <v>14200</v>
      </c>
      <c r="E37" s="42">
        <f>SUBTOTAL(109,Table1[APR])</f>
        <v>0</v>
      </c>
      <c r="F37" s="42">
        <f>SUBTOTAL(109,Table1[MAY])</f>
        <v>0</v>
      </c>
      <c r="G37" s="42">
        <f>SUBTOTAL(109,Table1[JUN])</f>
        <v>0</v>
      </c>
      <c r="H37" s="42">
        <f>SUBTOTAL(109,Table1[JUL])</f>
        <v>0</v>
      </c>
      <c r="I37" s="42">
        <f>SUBTOTAL(109,Table1[AUG])</f>
        <v>0</v>
      </c>
      <c r="J37" s="42">
        <f>SUBTOTAL(109,Table1[SEP])</f>
        <v>0</v>
      </c>
      <c r="K37" s="42">
        <f>SUBTOTAL(109,Table1[OCT])</f>
        <v>0</v>
      </c>
      <c r="L37" s="42">
        <f>SUBTOTAL(109,Table1[NOV])</f>
        <v>0</v>
      </c>
      <c r="M37" s="42">
        <f>SUBTOTAL(109,Table1[DEC])</f>
        <v>0</v>
      </c>
      <c r="N37" s="42">
        <f>SUBTOTAL(109,Table1[Total])</f>
        <v>42100</v>
      </c>
      <c r="O37" s="42">
        <f>SUBTOTAL(109,Table1[Mnthly Avg])</f>
        <v>14033.333333333334</v>
      </c>
      <c r="P37" s="69"/>
    </row>
    <row r="38" spans="1:20" ht="13.5" thickTop="1" x14ac:dyDescent="0.3"/>
    <row r="39" spans="1:20" x14ac:dyDescent="0.3">
      <c r="A39" s="21" t="s">
        <v>41</v>
      </c>
      <c r="B39" s="20" t="s">
        <v>5</v>
      </c>
      <c r="C39" s="20" t="s">
        <v>6</v>
      </c>
      <c r="D39" s="20" t="s">
        <v>7</v>
      </c>
      <c r="E39" s="20" t="s">
        <v>8</v>
      </c>
      <c r="F39" s="20" t="s">
        <v>9</v>
      </c>
      <c r="G39" s="20" t="s">
        <v>10</v>
      </c>
      <c r="H39" s="20" t="s">
        <v>11</v>
      </c>
      <c r="I39" s="20" t="s">
        <v>12</v>
      </c>
      <c r="J39" s="20" t="s">
        <v>13</v>
      </c>
      <c r="K39" s="20" t="s">
        <v>14</v>
      </c>
      <c r="L39" s="20" t="s">
        <v>15</v>
      </c>
      <c r="M39" s="20" t="s">
        <v>16</v>
      </c>
      <c r="N39" s="30" t="s">
        <v>18</v>
      </c>
      <c r="O39" s="39" t="s">
        <v>135</v>
      </c>
      <c r="P39" s="20" t="s">
        <v>189</v>
      </c>
      <c r="R39" s="12" t="s">
        <v>191</v>
      </c>
      <c r="S39" s="12" t="s">
        <v>192</v>
      </c>
      <c r="T39" s="12" t="s">
        <v>193</v>
      </c>
    </row>
    <row r="40" spans="1:20" x14ac:dyDescent="0.3">
      <c r="A40" s="22" t="s">
        <v>42</v>
      </c>
      <c r="B40" s="25">
        <v>200</v>
      </c>
      <c r="C40" s="25">
        <v>200</v>
      </c>
      <c r="D40" s="25">
        <v>300</v>
      </c>
      <c r="E40" s="25"/>
      <c r="F40" s="25"/>
      <c r="G40" s="25">
        <v>200</v>
      </c>
      <c r="H40" s="25">
        <v>500</v>
      </c>
      <c r="I40" s="25"/>
      <c r="J40" s="25"/>
      <c r="K40" s="25"/>
      <c r="L40" s="25"/>
      <c r="M40" s="25"/>
      <c r="N40" s="40">
        <f t="shared" ref="N40:N45" si="9">SUM(B40:M40)</f>
        <v>1400</v>
      </c>
      <c r="O40" s="40">
        <f>IFERROR(AVERAGEIF(Table2[[#This Row],[JAN]:[DEC]], "&gt;0"),0)</f>
        <v>280</v>
      </c>
      <c r="P40" s="72" t="s">
        <v>191</v>
      </c>
    </row>
    <row r="41" spans="1:20" x14ac:dyDescent="0.3">
      <c r="A41" s="22" t="s">
        <v>43</v>
      </c>
      <c r="B41" s="25"/>
      <c r="C41" s="25"/>
      <c r="D41" s="25"/>
      <c r="E41" s="25"/>
      <c r="F41" s="25"/>
      <c r="G41" s="25"/>
      <c r="H41" s="25"/>
      <c r="I41" s="25"/>
      <c r="J41" s="25"/>
      <c r="K41" s="25"/>
      <c r="L41" s="25"/>
      <c r="M41" s="25"/>
      <c r="N41" s="40">
        <f t="shared" si="9"/>
        <v>0</v>
      </c>
      <c r="O41" s="40">
        <f>IFERROR(AVERAGEIF(Table2[[#This Row],[JAN]:[DEC]], "&gt;0"),0)</f>
        <v>0</v>
      </c>
      <c r="P41" s="72" t="s">
        <v>191</v>
      </c>
    </row>
    <row r="42" spans="1:20" x14ac:dyDescent="0.3">
      <c r="A42" s="22" t="s">
        <v>44</v>
      </c>
      <c r="B42" s="25"/>
      <c r="C42" s="25"/>
      <c r="D42" s="25"/>
      <c r="E42" s="25"/>
      <c r="F42" s="25"/>
      <c r="G42" s="25"/>
      <c r="H42" s="25"/>
      <c r="I42" s="25"/>
      <c r="J42" s="25"/>
      <c r="K42" s="25"/>
      <c r="L42" s="25"/>
      <c r="M42" s="25"/>
      <c r="N42" s="40">
        <f t="shared" si="9"/>
        <v>0</v>
      </c>
      <c r="O42" s="40">
        <f>IFERROR(AVERAGEIF(Table2[[#This Row],[JAN]:[DEC]], "&gt;0"),0)</f>
        <v>0</v>
      </c>
      <c r="P42" s="72" t="s">
        <v>191</v>
      </c>
    </row>
    <row r="43" spans="1:20" x14ac:dyDescent="0.3">
      <c r="A43" s="22" t="s">
        <v>45</v>
      </c>
      <c r="B43" s="25"/>
      <c r="C43" s="25"/>
      <c r="D43" s="25"/>
      <c r="E43" s="25"/>
      <c r="F43" s="25"/>
      <c r="G43" s="25"/>
      <c r="H43" s="25"/>
      <c r="I43" s="25"/>
      <c r="J43" s="25"/>
      <c r="K43" s="25"/>
      <c r="L43" s="25"/>
      <c r="M43" s="25"/>
      <c r="N43" s="40">
        <f t="shared" si="9"/>
        <v>0</v>
      </c>
      <c r="O43" s="40">
        <f>IFERROR(AVERAGEIF(Table2[[#This Row],[JAN]:[DEC]], "&gt;0"),0)</f>
        <v>0</v>
      </c>
      <c r="P43" s="72" t="s">
        <v>191</v>
      </c>
    </row>
    <row r="44" spans="1:20" x14ac:dyDescent="0.3">
      <c r="A44" s="22" t="s">
        <v>46</v>
      </c>
      <c r="B44" s="25"/>
      <c r="C44" s="25"/>
      <c r="D44" s="25"/>
      <c r="E44" s="25"/>
      <c r="F44" s="25"/>
      <c r="G44" s="25"/>
      <c r="H44" s="25"/>
      <c r="I44" s="25"/>
      <c r="J44" s="25"/>
      <c r="K44" s="25"/>
      <c r="L44" s="25"/>
      <c r="M44" s="25">
        <v>100</v>
      </c>
      <c r="N44" s="40">
        <f t="shared" si="9"/>
        <v>100</v>
      </c>
      <c r="O44" s="40">
        <f>IFERROR(AVERAGEIF(Table2[[#This Row],[JAN]:[DEC]], "&gt;0"),0)</f>
        <v>100</v>
      </c>
      <c r="P44" s="72" t="s">
        <v>191</v>
      </c>
    </row>
    <row r="45" spans="1:20" x14ac:dyDescent="0.3">
      <c r="A45" s="22" t="s">
        <v>47</v>
      </c>
      <c r="B45" s="25"/>
      <c r="C45" s="25"/>
      <c r="D45" s="25"/>
      <c r="E45" s="25"/>
      <c r="F45" s="25"/>
      <c r="G45" s="25"/>
      <c r="H45" s="25"/>
      <c r="I45" s="25"/>
      <c r="J45" s="25"/>
      <c r="K45" s="25"/>
      <c r="L45" s="25"/>
      <c r="M45" s="25"/>
      <c r="N45" s="40">
        <f t="shared" si="9"/>
        <v>0</v>
      </c>
      <c r="O45" s="40">
        <f>IFERROR(AVERAGEIF(Table2[[#This Row],[JAN]:[DEC]], "&gt;0"),0)</f>
        <v>0</v>
      </c>
      <c r="P45" s="72" t="s">
        <v>191</v>
      </c>
    </row>
    <row r="46" spans="1:20" x14ac:dyDescent="0.3">
      <c r="A46" s="24" t="s">
        <v>48</v>
      </c>
      <c r="B46" s="25"/>
      <c r="C46" s="25"/>
      <c r="D46" s="25"/>
      <c r="E46" s="25"/>
      <c r="F46" s="25"/>
      <c r="G46" s="25"/>
      <c r="H46" s="25"/>
      <c r="I46" s="25"/>
      <c r="J46" s="25"/>
      <c r="K46" s="25"/>
      <c r="L46" s="25"/>
      <c r="M46" s="25"/>
      <c r="N46" s="41">
        <f t="shared" ref="N46:N52" si="10">SUM(B46:M46)</f>
        <v>0</v>
      </c>
      <c r="O46" s="40">
        <f>IFERROR(AVERAGEIF(Table2[[#This Row],[JAN]:[DEC]], "&gt;0"),0)</f>
        <v>0</v>
      </c>
      <c r="P46" s="72" t="s">
        <v>191</v>
      </c>
    </row>
    <row r="47" spans="1:20" x14ac:dyDescent="0.3">
      <c r="A47" s="24" t="s">
        <v>49</v>
      </c>
      <c r="B47" s="25"/>
      <c r="C47" s="25"/>
      <c r="D47" s="25"/>
      <c r="E47" s="25"/>
      <c r="F47" s="25"/>
      <c r="G47" s="25"/>
      <c r="H47" s="25"/>
      <c r="I47" s="25"/>
      <c r="J47" s="25"/>
      <c r="K47" s="25"/>
      <c r="L47" s="25"/>
      <c r="M47" s="25"/>
      <c r="N47" s="41">
        <f t="shared" si="10"/>
        <v>0</v>
      </c>
      <c r="O47" s="40">
        <f>IFERROR(AVERAGEIF(Table2[[#This Row],[JAN]:[DEC]], "&gt;0"),0)</f>
        <v>0</v>
      </c>
      <c r="P47" s="72" t="s">
        <v>191</v>
      </c>
    </row>
    <row r="48" spans="1:20" x14ac:dyDescent="0.3">
      <c r="A48" s="24" t="s">
        <v>50</v>
      </c>
      <c r="B48" s="25"/>
      <c r="C48" s="25"/>
      <c r="D48" s="25"/>
      <c r="E48" s="25"/>
      <c r="F48" s="25"/>
      <c r="G48" s="25"/>
      <c r="H48" s="25"/>
      <c r="I48" s="25"/>
      <c r="J48" s="25"/>
      <c r="K48" s="25"/>
      <c r="L48" s="25"/>
      <c r="M48" s="25"/>
      <c r="N48" s="41">
        <f t="shared" si="10"/>
        <v>0</v>
      </c>
      <c r="O48" s="40">
        <f>IFERROR(AVERAGEIF(Table2[[#This Row],[JAN]:[DEC]], "&gt;0"),0)</f>
        <v>0</v>
      </c>
      <c r="P48" s="72" t="s">
        <v>191</v>
      </c>
    </row>
    <row r="49" spans="1:20" x14ac:dyDescent="0.3">
      <c r="A49" s="24" t="s">
        <v>51</v>
      </c>
      <c r="B49" s="25"/>
      <c r="C49" s="25"/>
      <c r="D49" s="25"/>
      <c r="E49" s="25"/>
      <c r="F49" s="25"/>
      <c r="G49" s="25"/>
      <c r="H49" s="25"/>
      <c r="I49" s="25"/>
      <c r="J49" s="25"/>
      <c r="K49" s="25"/>
      <c r="L49" s="25"/>
      <c r="M49" s="25"/>
      <c r="N49" s="41">
        <f t="shared" si="10"/>
        <v>0</v>
      </c>
      <c r="O49" s="40">
        <f>IFERROR(AVERAGEIF(Table2[[#This Row],[JAN]:[DEC]], "&gt;0"),0)</f>
        <v>0</v>
      </c>
      <c r="P49" s="72" t="s">
        <v>191</v>
      </c>
    </row>
    <row r="50" spans="1:20" x14ac:dyDescent="0.3">
      <c r="A50" s="24" t="s">
        <v>52</v>
      </c>
      <c r="B50" s="25"/>
      <c r="C50" s="25"/>
      <c r="D50" s="25"/>
      <c r="E50" s="25"/>
      <c r="F50" s="25"/>
      <c r="G50" s="25"/>
      <c r="H50" s="25"/>
      <c r="I50" s="25"/>
      <c r="J50" s="25"/>
      <c r="K50" s="25"/>
      <c r="L50" s="25"/>
      <c r="M50" s="25"/>
      <c r="N50" s="41">
        <f t="shared" si="10"/>
        <v>0</v>
      </c>
      <c r="O50" s="40">
        <f>IFERROR(AVERAGEIF(Table2[[#This Row],[JAN]:[DEC]], "&gt;0"),0)</f>
        <v>0</v>
      </c>
      <c r="P50" s="72" t="s">
        <v>191</v>
      </c>
    </row>
    <row r="51" spans="1:20" x14ac:dyDescent="0.3">
      <c r="A51" s="24" t="s">
        <v>53</v>
      </c>
      <c r="B51" s="25"/>
      <c r="C51" s="25"/>
      <c r="D51" s="25"/>
      <c r="E51" s="25"/>
      <c r="F51" s="25"/>
      <c r="G51" s="25"/>
      <c r="H51" s="25"/>
      <c r="I51" s="25"/>
      <c r="J51" s="25"/>
      <c r="K51" s="25"/>
      <c r="L51" s="25"/>
      <c r="M51" s="25">
        <v>500</v>
      </c>
      <c r="N51" s="41">
        <f t="shared" si="10"/>
        <v>500</v>
      </c>
      <c r="O51" s="40">
        <f>IFERROR(AVERAGEIF(Table2[[#This Row],[JAN]:[DEC]], "&gt;0"),0)</f>
        <v>500</v>
      </c>
      <c r="P51" s="72" t="s">
        <v>192</v>
      </c>
    </row>
    <row r="52" spans="1:20" x14ac:dyDescent="0.3">
      <c r="A52" s="12" t="s">
        <v>54</v>
      </c>
      <c r="B52" s="25"/>
      <c r="C52" s="25"/>
      <c r="D52" s="25"/>
      <c r="E52" s="25"/>
      <c r="F52" s="25"/>
      <c r="G52" s="25"/>
      <c r="H52" s="25"/>
      <c r="I52" s="25"/>
      <c r="J52" s="25"/>
      <c r="K52" s="25"/>
      <c r="L52" s="25"/>
      <c r="M52" s="25"/>
      <c r="N52" s="41">
        <f t="shared" si="10"/>
        <v>0</v>
      </c>
      <c r="O52" s="40">
        <f>IFERROR(AVERAGEIF(Table2[[#This Row],[JAN]:[DEC]], "&gt;0"),0)</f>
        <v>0</v>
      </c>
      <c r="P52" s="72" t="s">
        <v>191</v>
      </c>
    </row>
    <row r="53" spans="1:20" x14ac:dyDescent="0.3">
      <c r="A53" s="22" t="s">
        <v>21</v>
      </c>
      <c r="B53" s="25"/>
      <c r="C53" s="25"/>
      <c r="D53" s="25"/>
      <c r="E53" s="25"/>
      <c r="F53" s="25"/>
      <c r="G53" s="25"/>
      <c r="H53" s="25"/>
      <c r="I53" s="25"/>
      <c r="J53" s="25"/>
      <c r="K53" s="25"/>
      <c r="L53" s="25"/>
      <c r="M53" s="25">
        <v>100</v>
      </c>
      <c r="N53" s="40">
        <f t="shared" ref="N53" si="11">SUM(B53:M53)</f>
        <v>100</v>
      </c>
      <c r="O53" s="40">
        <f>IFERROR(AVERAGEIF(Table2[[#This Row],[JAN]:[DEC]], "&gt;0"),0)</f>
        <v>100</v>
      </c>
      <c r="P53" s="72" t="s">
        <v>192</v>
      </c>
    </row>
    <row r="54" spans="1:20" ht="13.5" thickBot="1" x14ac:dyDescent="0.35">
      <c r="A54" s="29" t="s">
        <v>136</v>
      </c>
      <c r="B54" s="42">
        <f>SUBTOTAL(109,Table2[JAN])</f>
        <v>200</v>
      </c>
      <c r="C54" s="42">
        <f>SUBTOTAL(109,Table2[FEB])</f>
        <v>200</v>
      </c>
      <c r="D54" s="42">
        <f>SUBTOTAL(109,Table2[MAR])</f>
        <v>300</v>
      </c>
      <c r="E54" s="42">
        <f>SUBTOTAL(109,Table2[APR])</f>
        <v>0</v>
      </c>
      <c r="F54" s="42">
        <f>SUBTOTAL(109,Table2[MAY])</f>
        <v>0</v>
      </c>
      <c r="G54" s="42">
        <f>SUBTOTAL(109,Table2[JUN])</f>
        <v>200</v>
      </c>
      <c r="H54" s="42">
        <f>SUBTOTAL(109,Table2[JUL])</f>
        <v>500</v>
      </c>
      <c r="I54" s="42">
        <f>SUBTOTAL(109,Table2[AUG])</f>
        <v>0</v>
      </c>
      <c r="J54" s="42">
        <f>SUBTOTAL(109,Table2[SEP])</f>
        <v>0</v>
      </c>
      <c r="K54" s="42">
        <f>SUBTOTAL(109,Table2[OCT])</f>
        <v>0</v>
      </c>
      <c r="L54" s="42">
        <f>SUBTOTAL(109,Table2[NOV])</f>
        <v>0</v>
      </c>
      <c r="M54" s="42">
        <f>SUBTOTAL(109,Table2[DEC])</f>
        <v>700</v>
      </c>
      <c r="N54" s="42">
        <f>SUBTOTAL(109,Table2[Total])</f>
        <v>2100</v>
      </c>
      <c r="O54" s="42">
        <f>SUBTOTAL(109,Table2[Monthly Avg])</f>
        <v>980</v>
      </c>
      <c r="P54" s="69"/>
      <c r="R54" s="12">
        <f>SUMIFS(Table2[Total], Table2[Category], "Needs")</f>
        <v>1500</v>
      </c>
      <c r="S54" s="12">
        <f>SUMIFS(Table2[Total], Table2[Category], "Wants")</f>
        <v>600</v>
      </c>
      <c r="T54" s="12">
        <f>SUMIFS(Table2[Total], Table2[Category], "Savings")</f>
        <v>0</v>
      </c>
    </row>
    <row r="55" spans="1:20" ht="13.5" thickTop="1" x14ac:dyDescent="0.3"/>
    <row r="56" spans="1:20" x14ac:dyDescent="0.3">
      <c r="A56" s="21" t="s">
        <v>55</v>
      </c>
      <c r="B56" s="20" t="s">
        <v>5</v>
      </c>
      <c r="C56" s="20" t="s">
        <v>6</v>
      </c>
      <c r="D56" s="20" t="s">
        <v>7</v>
      </c>
      <c r="E56" s="20" t="s">
        <v>8</v>
      </c>
      <c r="F56" s="20" t="s">
        <v>9</v>
      </c>
      <c r="G56" s="20" t="s">
        <v>10</v>
      </c>
      <c r="H56" s="20" t="s">
        <v>11</v>
      </c>
      <c r="I56" s="20" t="s">
        <v>12</v>
      </c>
      <c r="J56" s="20" t="s">
        <v>13</v>
      </c>
      <c r="K56" s="20" t="s">
        <v>14</v>
      </c>
      <c r="L56" s="20" t="s">
        <v>15</v>
      </c>
      <c r="M56" s="20" t="s">
        <v>16</v>
      </c>
      <c r="N56" s="30" t="s">
        <v>18</v>
      </c>
      <c r="O56" s="39" t="s">
        <v>135</v>
      </c>
      <c r="P56" s="20" t="s">
        <v>189</v>
      </c>
    </row>
    <row r="57" spans="1:20" x14ac:dyDescent="0.3">
      <c r="A57" s="22" t="s">
        <v>56</v>
      </c>
      <c r="B57" s="25"/>
      <c r="C57" s="25"/>
      <c r="D57" s="25"/>
      <c r="E57" s="25"/>
      <c r="F57" s="25"/>
      <c r="G57" s="25"/>
      <c r="H57" s="25"/>
      <c r="I57" s="25"/>
      <c r="J57" s="25"/>
      <c r="K57" s="25"/>
      <c r="L57" s="25"/>
      <c r="M57" s="25"/>
      <c r="N57" s="40">
        <f t="shared" ref="N57:N62" si="12">SUM(B57:M57)</f>
        <v>0</v>
      </c>
      <c r="O57" s="40">
        <f>IFERROR(AVERAGEIF(Table3[[#This Row],[JAN]:[DEC]], "&gt;0"), 0)</f>
        <v>0</v>
      </c>
      <c r="P57" s="74" t="s">
        <v>191</v>
      </c>
    </row>
    <row r="58" spans="1:20" x14ac:dyDescent="0.3">
      <c r="A58" s="22" t="s">
        <v>57</v>
      </c>
      <c r="B58" s="25"/>
      <c r="C58" s="25"/>
      <c r="D58" s="25"/>
      <c r="E58" s="25"/>
      <c r="F58" s="25"/>
      <c r="G58" s="25"/>
      <c r="H58" s="25"/>
      <c r="I58" s="25"/>
      <c r="J58" s="25"/>
      <c r="K58" s="25"/>
      <c r="L58" s="25"/>
      <c r="M58" s="25"/>
      <c r="N58" s="40">
        <f t="shared" si="12"/>
        <v>0</v>
      </c>
      <c r="O58" s="40">
        <f>IFERROR(AVERAGEIF(Table3[[#This Row],[JAN]:[DEC]], "&gt;0"), 0)</f>
        <v>0</v>
      </c>
      <c r="P58" s="74" t="s">
        <v>191</v>
      </c>
    </row>
    <row r="59" spans="1:20" x14ac:dyDescent="0.3">
      <c r="A59" s="22" t="s">
        <v>58</v>
      </c>
      <c r="B59" s="25">
        <v>120</v>
      </c>
      <c r="C59" s="25">
        <v>120</v>
      </c>
      <c r="D59" s="25">
        <v>130</v>
      </c>
      <c r="E59" s="25"/>
      <c r="F59" s="25"/>
      <c r="G59" s="25"/>
      <c r="H59" s="25"/>
      <c r="I59" s="25"/>
      <c r="J59" s="25"/>
      <c r="K59" s="25"/>
      <c r="L59" s="25"/>
      <c r="M59" s="25"/>
      <c r="N59" s="40">
        <f t="shared" si="12"/>
        <v>370</v>
      </c>
      <c r="O59" s="40">
        <f>IFERROR(AVERAGEIF(Table3[[#This Row],[JAN]:[DEC]], "&gt;0"), 0)</f>
        <v>123.33333333333333</v>
      </c>
      <c r="P59" s="74" t="s">
        <v>191</v>
      </c>
    </row>
    <row r="60" spans="1:20" x14ac:dyDescent="0.3">
      <c r="A60" s="22" t="s">
        <v>59</v>
      </c>
      <c r="B60" s="25"/>
      <c r="C60" s="25"/>
      <c r="D60" s="25"/>
      <c r="E60" s="25"/>
      <c r="F60" s="25"/>
      <c r="G60" s="25"/>
      <c r="H60" s="25"/>
      <c r="I60" s="25"/>
      <c r="J60" s="25"/>
      <c r="K60" s="25"/>
      <c r="L60" s="25"/>
      <c r="M60" s="25"/>
      <c r="N60" s="40">
        <f t="shared" si="12"/>
        <v>0</v>
      </c>
      <c r="O60" s="40">
        <f>IFERROR(AVERAGEIF(Table3[[#This Row],[JAN]:[DEC]], "&gt;0"), 0)</f>
        <v>0</v>
      </c>
      <c r="P60" s="74" t="s">
        <v>191</v>
      </c>
    </row>
    <row r="61" spans="1:20" x14ac:dyDescent="0.3">
      <c r="A61" s="32" t="s">
        <v>60</v>
      </c>
      <c r="B61" s="25"/>
      <c r="C61" s="25"/>
      <c r="D61" s="25"/>
      <c r="E61" s="25"/>
      <c r="F61" s="25"/>
      <c r="G61" s="25"/>
      <c r="H61" s="25"/>
      <c r="I61" s="25"/>
      <c r="J61" s="25"/>
      <c r="K61" s="25"/>
      <c r="L61" s="25"/>
      <c r="M61" s="25"/>
      <c r="N61" s="40">
        <f t="shared" si="12"/>
        <v>0</v>
      </c>
      <c r="O61" s="40">
        <f>IFERROR(AVERAGEIF(Table3[[#This Row],[JAN]:[DEC]], "&gt;0"), 0)</f>
        <v>0</v>
      </c>
      <c r="P61" s="74" t="s">
        <v>191</v>
      </c>
    </row>
    <row r="62" spans="1:20" x14ac:dyDescent="0.3">
      <c r="A62" s="22" t="s">
        <v>61</v>
      </c>
      <c r="B62" s="25"/>
      <c r="C62" s="25"/>
      <c r="D62" s="25"/>
      <c r="E62" s="25"/>
      <c r="F62" s="25"/>
      <c r="G62" s="25"/>
      <c r="H62" s="25"/>
      <c r="I62" s="25"/>
      <c r="J62" s="25"/>
      <c r="K62" s="25"/>
      <c r="L62" s="25"/>
      <c r="M62" s="25"/>
      <c r="N62" s="40">
        <f t="shared" si="12"/>
        <v>0</v>
      </c>
      <c r="O62" s="40">
        <f>IFERROR(AVERAGEIF(Table3[[#This Row],[JAN]:[DEC]], "&gt;0"), 0)</f>
        <v>0</v>
      </c>
      <c r="P62" s="74" t="s">
        <v>191</v>
      </c>
    </row>
    <row r="63" spans="1:20" x14ac:dyDescent="0.3">
      <c r="A63" s="24" t="s">
        <v>62</v>
      </c>
      <c r="B63" s="25"/>
      <c r="C63" s="25"/>
      <c r="D63" s="25"/>
      <c r="E63" s="25"/>
      <c r="F63" s="25"/>
      <c r="G63" s="25"/>
      <c r="H63" s="25"/>
      <c r="I63" s="25"/>
      <c r="J63" s="25"/>
      <c r="K63" s="25"/>
      <c r="L63" s="25"/>
      <c r="M63" s="25"/>
      <c r="N63" s="41">
        <f t="shared" ref="N63:N64" si="13">SUM(B63:M63)</f>
        <v>0</v>
      </c>
      <c r="O63" s="40">
        <f>IFERROR(AVERAGEIF(Table3[[#This Row],[JAN]:[DEC]], "&gt;0"), 0)</f>
        <v>0</v>
      </c>
      <c r="P63" s="74" t="s">
        <v>192</v>
      </c>
    </row>
    <row r="64" spans="1:20" x14ac:dyDescent="0.3">
      <c r="A64" s="24" t="s">
        <v>63</v>
      </c>
      <c r="B64" s="25"/>
      <c r="C64" s="25"/>
      <c r="D64" s="25"/>
      <c r="E64" s="25"/>
      <c r="F64" s="25"/>
      <c r="G64" s="25"/>
      <c r="H64" s="25"/>
      <c r="I64" s="25"/>
      <c r="J64" s="25"/>
      <c r="K64" s="25"/>
      <c r="L64" s="25"/>
      <c r="M64" s="26"/>
      <c r="N64" s="41">
        <f t="shared" si="13"/>
        <v>0</v>
      </c>
      <c r="O64" s="40">
        <f>IFERROR(AVERAGEIF(Table3[[#This Row],[JAN]:[DEC]], "&gt;0"), 0)</f>
        <v>0</v>
      </c>
      <c r="P64" s="74" t="s">
        <v>192</v>
      </c>
    </row>
    <row r="65" spans="1:20" ht="13.5" thickBot="1" x14ac:dyDescent="0.35">
      <c r="A65" s="29" t="s">
        <v>137</v>
      </c>
      <c r="B65" s="42">
        <f>SUBTOTAL(109,Table3[JAN])</f>
        <v>120</v>
      </c>
      <c r="C65" s="42">
        <f>SUBTOTAL(109,Table3[FEB])</f>
        <v>120</v>
      </c>
      <c r="D65" s="42">
        <f>SUBTOTAL(109,Table3[MAR])</f>
        <v>130</v>
      </c>
      <c r="E65" s="42">
        <f>SUBTOTAL(109,Table3[APR])</f>
        <v>0</v>
      </c>
      <c r="F65" s="42">
        <f>SUBTOTAL(109,Table3[MAY])</f>
        <v>0</v>
      </c>
      <c r="G65" s="42">
        <f>SUBTOTAL(109,Table3[JUN])</f>
        <v>0</v>
      </c>
      <c r="H65" s="42">
        <f>SUBTOTAL(109,Table3[JUL])</f>
        <v>0</v>
      </c>
      <c r="I65" s="42">
        <f>SUBTOTAL(109,Table3[AUG])</f>
        <v>0</v>
      </c>
      <c r="J65" s="42">
        <f>SUBTOTAL(109,Table3[SEP])</f>
        <v>0</v>
      </c>
      <c r="K65" s="42">
        <f>SUBTOTAL(109,Table3[OCT])</f>
        <v>0</v>
      </c>
      <c r="L65" s="42">
        <f>SUBTOTAL(109,Table3[NOV])</f>
        <v>0</v>
      </c>
      <c r="M65" s="42">
        <f>SUBTOTAL(109,Table3[DEC])</f>
        <v>0</v>
      </c>
      <c r="N65" s="42">
        <f>SUBTOTAL(109,Table3[Total])</f>
        <v>370</v>
      </c>
      <c r="O65" s="42">
        <f>SUBTOTAL(109,Table3[Monthly Avg])</f>
        <v>123.33333333333333</v>
      </c>
      <c r="P65" s="69"/>
      <c r="R65" s="12">
        <f>SUMIFS(Table3[Total], Table3[Category], "Needs")</f>
        <v>370</v>
      </c>
      <c r="S65" s="12">
        <f>SUMIFS(Table3[Total], Table3[Category], "Wants")</f>
        <v>0</v>
      </c>
      <c r="T65" s="12">
        <f>SUMIFS(Table3[Total], Table3[Category], "Savings")</f>
        <v>0</v>
      </c>
    </row>
    <row r="66" spans="1:20" ht="13.5" thickTop="1" x14ac:dyDescent="0.3">
      <c r="B66" s="27"/>
      <c r="C66" s="27"/>
      <c r="D66" s="27"/>
      <c r="E66" s="27"/>
      <c r="F66" s="27"/>
      <c r="G66" s="27"/>
      <c r="H66" s="27"/>
      <c r="I66" s="27"/>
      <c r="J66" s="27"/>
      <c r="K66" s="27"/>
      <c r="L66" s="27"/>
      <c r="M66" s="27"/>
      <c r="N66" s="28"/>
      <c r="O66" s="23"/>
    </row>
    <row r="67" spans="1:20" x14ac:dyDescent="0.3">
      <c r="A67" s="21" t="s">
        <v>64</v>
      </c>
      <c r="B67" s="20" t="s">
        <v>5</v>
      </c>
      <c r="C67" s="20" t="s">
        <v>6</v>
      </c>
      <c r="D67" s="20" t="s">
        <v>7</v>
      </c>
      <c r="E67" s="20" t="s">
        <v>8</v>
      </c>
      <c r="F67" s="20" t="s">
        <v>9</v>
      </c>
      <c r="G67" s="20" t="s">
        <v>10</v>
      </c>
      <c r="H67" s="20" t="s">
        <v>11</v>
      </c>
      <c r="I67" s="20" t="s">
        <v>12</v>
      </c>
      <c r="J67" s="20" t="s">
        <v>13</v>
      </c>
      <c r="K67" s="20" t="s">
        <v>14</v>
      </c>
      <c r="L67" s="20" t="s">
        <v>15</v>
      </c>
      <c r="M67" s="20" t="s">
        <v>16</v>
      </c>
      <c r="N67" s="30" t="s">
        <v>18</v>
      </c>
      <c r="O67" s="39" t="s">
        <v>135</v>
      </c>
      <c r="P67" s="20" t="s">
        <v>189</v>
      </c>
    </row>
    <row r="68" spans="1:20" x14ac:dyDescent="0.3">
      <c r="A68" s="31" t="s">
        <v>65</v>
      </c>
      <c r="B68" s="25"/>
      <c r="C68" s="25"/>
      <c r="D68" s="25"/>
      <c r="E68" s="25"/>
      <c r="F68" s="25"/>
      <c r="G68" s="25"/>
      <c r="H68" s="25"/>
      <c r="I68" s="25"/>
      <c r="J68" s="25"/>
      <c r="K68" s="25"/>
      <c r="L68" s="25"/>
      <c r="M68" s="25"/>
      <c r="N68" s="40">
        <f t="shared" ref="N68:N76" si="14">SUM(B68:M68)</f>
        <v>0</v>
      </c>
      <c r="O68" s="40">
        <f>IFERROR(AVERAGEIF(Table4[[#This Row],[JAN]:[DEC]], "&gt;0"), 0)</f>
        <v>0</v>
      </c>
      <c r="P68" s="72" t="s">
        <v>191</v>
      </c>
    </row>
    <row r="69" spans="1:20" x14ac:dyDescent="0.3">
      <c r="A69" s="31" t="s">
        <v>66</v>
      </c>
      <c r="B69" s="25"/>
      <c r="C69" s="25"/>
      <c r="D69" s="25"/>
      <c r="E69" s="25"/>
      <c r="F69" s="25"/>
      <c r="G69" s="25"/>
      <c r="H69" s="25"/>
      <c r="I69" s="25"/>
      <c r="J69" s="25"/>
      <c r="K69" s="25"/>
      <c r="L69" s="25"/>
      <c r="M69" s="25"/>
      <c r="N69" s="40">
        <f t="shared" si="14"/>
        <v>0</v>
      </c>
      <c r="O69" s="40">
        <f>IFERROR(AVERAGEIF(Table4[[#This Row],[JAN]:[DEC]], "&gt;0"), 0)</f>
        <v>0</v>
      </c>
      <c r="P69" s="72" t="s">
        <v>191</v>
      </c>
    </row>
    <row r="70" spans="1:20" x14ac:dyDescent="0.3">
      <c r="A70" s="31" t="s">
        <v>67</v>
      </c>
      <c r="B70" s="25"/>
      <c r="C70" s="25"/>
      <c r="D70" s="25"/>
      <c r="E70" s="25"/>
      <c r="F70" s="25"/>
      <c r="G70" s="25"/>
      <c r="H70" s="25"/>
      <c r="I70" s="25"/>
      <c r="J70" s="25"/>
      <c r="K70" s="25"/>
      <c r="L70" s="25"/>
      <c r="M70" s="25"/>
      <c r="N70" s="40">
        <f t="shared" si="14"/>
        <v>0</v>
      </c>
      <c r="O70" s="40">
        <f>IFERROR(AVERAGEIF(Table4[[#This Row],[JAN]:[DEC]], "&gt;0"), 0)</f>
        <v>0</v>
      </c>
      <c r="P70" s="72" t="s">
        <v>191</v>
      </c>
    </row>
    <row r="71" spans="1:20" x14ac:dyDescent="0.3">
      <c r="A71" s="31" t="s">
        <v>68</v>
      </c>
      <c r="B71" s="25">
        <v>130</v>
      </c>
      <c r="C71" s="25"/>
      <c r="D71" s="25">
        <v>170</v>
      </c>
      <c r="E71" s="25">
        <v>160</v>
      </c>
      <c r="F71" s="25">
        <v>120</v>
      </c>
      <c r="G71" s="25"/>
      <c r="H71" s="25"/>
      <c r="I71" s="25"/>
      <c r="J71" s="25"/>
      <c r="K71" s="25"/>
      <c r="L71" s="25"/>
      <c r="M71" s="25"/>
      <c r="N71" s="40">
        <f t="shared" si="14"/>
        <v>580</v>
      </c>
      <c r="O71" s="40">
        <f>IFERROR(AVERAGEIF(Table4[[#This Row],[JAN]:[DEC]], "&gt;0"), 0)</f>
        <v>145</v>
      </c>
      <c r="P71" s="72" t="s">
        <v>191</v>
      </c>
    </row>
    <row r="72" spans="1:20" x14ac:dyDescent="0.3">
      <c r="A72" s="31" t="s">
        <v>69</v>
      </c>
      <c r="B72" s="25"/>
      <c r="C72" s="25"/>
      <c r="D72" s="25"/>
      <c r="E72" s="25"/>
      <c r="F72" s="25"/>
      <c r="G72" s="25"/>
      <c r="H72" s="25"/>
      <c r="I72" s="25"/>
      <c r="J72" s="25"/>
      <c r="K72" s="25"/>
      <c r="L72" s="25"/>
      <c r="M72" s="25"/>
      <c r="N72" s="41">
        <f t="shared" ref="N72:N74" si="15">SUM(B72:M72)</f>
        <v>0</v>
      </c>
      <c r="O72" s="40">
        <f>IFERROR(AVERAGEIF(Table4[[#This Row],[JAN]:[DEC]], "&gt;0"), 0)</f>
        <v>0</v>
      </c>
      <c r="P72" s="72" t="s">
        <v>191</v>
      </c>
    </row>
    <row r="73" spans="1:20" x14ac:dyDescent="0.3">
      <c r="A73" s="31" t="s">
        <v>70</v>
      </c>
      <c r="B73" s="25"/>
      <c r="C73" s="25"/>
      <c r="D73" s="25"/>
      <c r="E73" s="25"/>
      <c r="F73" s="25"/>
      <c r="G73" s="25"/>
      <c r="H73" s="25"/>
      <c r="I73" s="25"/>
      <c r="J73" s="25"/>
      <c r="K73" s="25"/>
      <c r="L73" s="25"/>
      <c r="M73" s="25"/>
      <c r="N73" s="41">
        <f t="shared" si="15"/>
        <v>0</v>
      </c>
      <c r="O73" s="40">
        <f>IFERROR(AVERAGEIF(Table4[[#This Row],[JAN]:[DEC]], "&gt;0"), 0)</f>
        <v>0</v>
      </c>
      <c r="P73" s="72" t="s">
        <v>192</v>
      </c>
    </row>
    <row r="74" spans="1:20" x14ac:dyDescent="0.3">
      <c r="A74" s="31" t="s">
        <v>71</v>
      </c>
      <c r="B74" s="25"/>
      <c r="C74" s="25"/>
      <c r="D74" s="25"/>
      <c r="E74" s="25"/>
      <c r="F74" s="25"/>
      <c r="G74" s="25"/>
      <c r="H74" s="25"/>
      <c r="I74" s="25"/>
      <c r="J74" s="25"/>
      <c r="K74" s="25"/>
      <c r="L74" s="25"/>
      <c r="M74" s="25"/>
      <c r="N74" s="41">
        <f t="shared" si="15"/>
        <v>0</v>
      </c>
      <c r="O74" s="40">
        <f>IFERROR(AVERAGEIF(Table4[[#This Row],[JAN]:[DEC]], "&gt;0"), 0)</f>
        <v>0</v>
      </c>
      <c r="P74" s="72" t="s">
        <v>191</v>
      </c>
    </row>
    <row r="75" spans="1:20" x14ac:dyDescent="0.3">
      <c r="A75" s="31" t="s">
        <v>72</v>
      </c>
      <c r="B75" s="25"/>
      <c r="C75" s="25"/>
      <c r="D75" s="25"/>
      <c r="E75" s="25"/>
      <c r="F75" s="25"/>
      <c r="G75" s="25"/>
      <c r="H75" s="25"/>
      <c r="I75" s="25"/>
      <c r="J75" s="25"/>
      <c r="K75" s="25"/>
      <c r="L75" s="25"/>
      <c r="M75" s="25"/>
      <c r="N75" s="40">
        <f t="shared" si="14"/>
        <v>0</v>
      </c>
      <c r="O75" s="40">
        <f>IFERROR(AVERAGEIF(Table4[[#This Row],[JAN]:[DEC]], "&gt;0"), 0)</f>
        <v>0</v>
      </c>
      <c r="P75" s="72" t="s">
        <v>191</v>
      </c>
    </row>
    <row r="76" spans="1:20" x14ac:dyDescent="0.3">
      <c r="A76" s="31" t="s">
        <v>73</v>
      </c>
      <c r="B76" s="25"/>
      <c r="C76" s="25"/>
      <c r="D76" s="25"/>
      <c r="E76" s="25"/>
      <c r="F76" s="25"/>
      <c r="G76" s="25"/>
      <c r="H76" s="25"/>
      <c r="I76" s="25"/>
      <c r="J76" s="25"/>
      <c r="K76" s="25"/>
      <c r="L76" s="25"/>
      <c r="M76" s="25"/>
      <c r="N76" s="40">
        <f t="shared" si="14"/>
        <v>0</v>
      </c>
      <c r="O76" s="40">
        <f>IFERROR(AVERAGEIF(Table4[[#This Row],[JAN]:[DEC]], "&gt;0"), 0)</f>
        <v>0</v>
      </c>
      <c r="P76" s="72" t="s">
        <v>191</v>
      </c>
    </row>
    <row r="77" spans="1:20" ht="13.5" thickBot="1" x14ac:dyDescent="0.35">
      <c r="A77" s="29" t="s">
        <v>138</v>
      </c>
      <c r="B77" s="42">
        <f>SUBTOTAL(109,Table4[JAN])</f>
        <v>130</v>
      </c>
      <c r="C77" s="42">
        <f>SUBTOTAL(109,Table4[FEB])</f>
        <v>0</v>
      </c>
      <c r="D77" s="42">
        <f>SUBTOTAL(109,Table4[MAR])</f>
        <v>170</v>
      </c>
      <c r="E77" s="42">
        <f>SUBTOTAL(109,Table4[APR])</f>
        <v>160</v>
      </c>
      <c r="F77" s="42">
        <f>SUBTOTAL(109,Table4[MAY])</f>
        <v>120</v>
      </c>
      <c r="G77" s="42">
        <f>SUBTOTAL(109,Table4[JUN])</f>
        <v>0</v>
      </c>
      <c r="H77" s="42">
        <f>SUBTOTAL(109,Table4[JUL])</f>
        <v>0</v>
      </c>
      <c r="I77" s="42">
        <f>SUBTOTAL(109,Table4[AUG])</f>
        <v>0</v>
      </c>
      <c r="J77" s="42">
        <f>SUBTOTAL(109,Table4[SEP])</f>
        <v>0</v>
      </c>
      <c r="K77" s="42">
        <f>SUBTOTAL(109,Table4[OCT])</f>
        <v>0</v>
      </c>
      <c r="L77" s="42">
        <f>SUBTOTAL(109,Table4[NOV])</f>
        <v>0</v>
      </c>
      <c r="M77" s="42">
        <f>SUBTOTAL(109,Table4[DEC])</f>
        <v>0</v>
      </c>
      <c r="N77" s="42">
        <f>SUBTOTAL(109,Table4[Total])</f>
        <v>580</v>
      </c>
      <c r="O77" s="42">
        <f>SUBTOTAL(109,Table4[Monthly Avg])</f>
        <v>145</v>
      </c>
      <c r="P77" s="69"/>
      <c r="R77" s="12">
        <f>SUMIFS(Table4[Total], Table4[Category], "Needs")</f>
        <v>580</v>
      </c>
      <c r="S77" s="12">
        <f>SUMIFS(Table4[Total], Table4[Category], "Wants")</f>
        <v>0</v>
      </c>
      <c r="T77" s="12">
        <f>SUMIFS(Table4[Total], Table4[Category], "Savings")</f>
        <v>0</v>
      </c>
    </row>
    <row r="78" spans="1:20" ht="13.5" thickTop="1" x14ac:dyDescent="0.3"/>
    <row r="79" spans="1:20" x14ac:dyDescent="0.3">
      <c r="A79" s="21" t="s">
        <v>74</v>
      </c>
      <c r="B79" s="20" t="s">
        <v>5</v>
      </c>
      <c r="C79" s="20" t="s">
        <v>6</v>
      </c>
      <c r="D79" s="20" t="s">
        <v>7</v>
      </c>
      <c r="E79" s="20" t="s">
        <v>8</v>
      </c>
      <c r="F79" s="20" t="s">
        <v>9</v>
      </c>
      <c r="G79" s="20" t="s">
        <v>10</v>
      </c>
      <c r="H79" s="20" t="s">
        <v>11</v>
      </c>
      <c r="I79" s="20" t="s">
        <v>12</v>
      </c>
      <c r="J79" s="20" t="s">
        <v>13</v>
      </c>
      <c r="K79" s="20" t="s">
        <v>14</v>
      </c>
      <c r="L79" s="20" t="s">
        <v>15</v>
      </c>
      <c r="M79" s="20" t="s">
        <v>16</v>
      </c>
      <c r="N79" s="30" t="s">
        <v>18</v>
      </c>
      <c r="O79" s="39" t="s">
        <v>135</v>
      </c>
      <c r="P79" s="20" t="s">
        <v>189</v>
      </c>
    </row>
    <row r="80" spans="1:20" x14ac:dyDescent="0.3">
      <c r="A80" s="31" t="s">
        <v>75</v>
      </c>
      <c r="B80" s="25"/>
      <c r="C80" s="25"/>
      <c r="D80" s="25"/>
      <c r="E80" s="25"/>
      <c r="F80" s="25"/>
      <c r="G80" s="25"/>
      <c r="H80" s="25"/>
      <c r="I80" s="25"/>
      <c r="J80" s="25"/>
      <c r="K80" s="25"/>
      <c r="L80" s="25"/>
      <c r="M80" s="25"/>
      <c r="N80" s="40">
        <f t="shared" ref="N80:N83" si="16">SUM(B80:M80)</f>
        <v>0</v>
      </c>
      <c r="O80" s="40">
        <f>IFERROR(AVERAGEIF(Table5[[#This Row],[JAN]:[DEC]], "&gt;0"), 0)</f>
        <v>0</v>
      </c>
      <c r="P80" s="72" t="s">
        <v>192</v>
      </c>
    </row>
    <row r="81" spans="1:20" x14ac:dyDescent="0.3">
      <c r="A81" s="31" t="s">
        <v>76</v>
      </c>
      <c r="B81" s="25">
        <v>550</v>
      </c>
      <c r="C81" s="25"/>
      <c r="D81" s="25"/>
      <c r="E81" s="25"/>
      <c r="F81" s="25"/>
      <c r="G81" s="25"/>
      <c r="H81" s="25"/>
      <c r="I81" s="25"/>
      <c r="J81" s="25"/>
      <c r="K81" s="25"/>
      <c r="L81" s="25"/>
      <c r="M81" s="25"/>
      <c r="N81" s="40">
        <f t="shared" si="16"/>
        <v>550</v>
      </c>
      <c r="O81" s="40">
        <f>IFERROR(AVERAGEIF(Table5[[#This Row],[JAN]:[DEC]], "&gt;0"), 0)</f>
        <v>550</v>
      </c>
      <c r="P81" s="72" t="s">
        <v>192</v>
      </c>
    </row>
    <row r="82" spans="1:20" x14ac:dyDescent="0.3">
      <c r="A82" s="31" t="s">
        <v>77</v>
      </c>
      <c r="B82" s="25"/>
      <c r="C82" s="25"/>
      <c r="D82" s="25"/>
      <c r="E82" s="25"/>
      <c r="F82" s="25"/>
      <c r="G82" s="25"/>
      <c r="H82" s="25"/>
      <c r="I82" s="25"/>
      <c r="J82" s="25"/>
      <c r="K82" s="25"/>
      <c r="L82" s="25"/>
      <c r="M82" s="25"/>
      <c r="N82" s="40">
        <f t="shared" si="16"/>
        <v>0</v>
      </c>
      <c r="O82" s="40">
        <f>IFERROR(AVERAGEIF(Table5[[#This Row],[JAN]:[DEC]], "&gt;0"), 0)</f>
        <v>0</v>
      </c>
      <c r="P82" s="72" t="s">
        <v>192</v>
      </c>
    </row>
    <row r="83" spans="1:20" x14ac:dyDescent="0.3">
      <c r="A83" s="31" t="s">
        <v>78</v>
      </c>
      <c r="B83" s="25"/>
      <c r="C83" s="25"/>
      <c r="D83" s="25"/>
      <c r="E83" s="25"/>
      <c r="F83" s="25"/>
      <c r="G83" s="25"/>
      <c r="H83" s="25"/>
      <c r="I83" s="25"/>
      <c r="J83" s="25"/>
      <c r="K83" s="25"/>
      <c r="L83" s="25"/>
      <c r="M83" s="25"/>
      <c r="N83" s="40">
        <f t="shared" si="16"/>
        <v>0</v>
      </c>
      <c r="O83" s="40">
        <f>IFERROR(AVERAGEIF(Table5[[#This Row],[JAN]:[DEC]], "&gt;0"), 0)</f>
        <v>0</v>
      </c>
      <c r="P83" s="72" t="s">
        <v>192</v>
      </c>
    </row>
    <row r="84" spans="1:20" x14ac:dyDescent="0.3">
      <c r="A84" s="31" t="s">
        <v>79</v>
      </c>
      <c r="B84" s="25"/>
      <c r="C84" s="25"/>
      <c r="D84" s="25"/>
      <c r="E84" s="25"/>
      <c r="F84" s="25"/>
      <c r="G84" s="25"/>
      <c r="H84" s="25"/>
      <c r="I84" s="25"/>
      <c r="J84" s="25"/>
      <c r="K84" s="25"/>
      <c r="L84" s="25"/>
      <c r="M84" s="25"/>
      <c r="N84" s="41">
        <f t="shared" ref="N84" si="17">SUM(B84:M84)</f>
        <v>0</v>
      </c>
      <c r="O84" s="40">
        <f>IFERROR(AVERAGEIF(Table5[[#This Row],[JAN]:[DEC]], "&gt;0"), 0)</f>
        <v>0</v>
      </c>
      <c r="P84" s="72" t="s">
        <v>192</v>
      </c>
    </row>
    <row r="85" spans="1:20" ht="13.5" thickBot="1" x14ac:dyDescent="0.35">
      <c r="A85" s="29" t="s">
        <v>139</v>
      </c>
      <c r="B85" s="42">
        <f>SUBTOTAL(109,Table5[JAN])</f>
        <v>550</v>
      </c>
      <c r="C85" s="42">
        <f>SUBTOTAL(109,Table5[FEB])</f>
        <v>0</v>
      </c>
      <c r="D85" s="42">
        <f>SUBTOTAL(109,Table5[MAR])</f>
        <v>0</v>
      </c>
      <c r="E85" s="42">
        <f>SUBTOTAL(109,Table5[APR])</f>
        <v>0</v>
      </c>
      <c r="F85" s="42">
        <f>SUBTOTAL(109,Table5[MAY])</f>
        <v>0</v>
      </c>
      <c r="G85" s="42">
        <f>SUBTOTAL(109,Table5[JUN])</f>
        <v>0</v>
      </c>
      <c r="H85" s="42">
        <f>SUBTOTAL(109,Table5[JUL])</f>
        <v>0</v>
      </c>
      <c r="I85" s="42">
        <f>SUBTOTAL(109,Table5[AUG])</f>
        <v>0</v>
      </c>
      <c r="J85" s="42">
        <f>SUBTOTAL(109,Table5[SEP])</f>
        <v>0</v>
      </c>
      <c r="K85" s="42">
        <f>SUBTOTAL(109,Table5[OCT])</f>
        <v>0</v>
      </c>
      <c r="L85" s="42">
        <f>SUBTOTAL(109,Table5[NOV])</f>
        <v>0</v>
      </c>
      <c r="M85" s="42">
        <f>SUBTOTAL(109,Table5[DEC])</f>
        <v>0</v>
      </c>
      <c r="N85" s="42">
        <f>SUBTOTAL(109,Table5[Total])</f>
        <v>550</v>
      </c>
      <c r="O85" s="42">
        <f>SUBTOTAL(109,Table5[Monthly Avg])</f>
        <v>550</v>
      </c>
      <c r="P85" s="69"/>
      <c r="R85" s="12">
        <f>SUMIFS(Table5[Total], Table5[Category], "Needs")</f>
        <v>0</v>
      </c>
      <c r="S85" s="12">
        <f>SUMIFS(Table5[Total], Table5[Category], "Wants")</f>
        <v>550</v>
      </c>
      <c r="T85" s="12">
        <f>SUMIFS(Table5[Total], Table5[Category], "Savings")</f>
        <v>0</v>
      </c>
    </row>
    <row r="86" spans="1:20" ht="13.5" thickTop="1" x14ac:dyDescent="0.3"/>
    <row r="87" spans="1:20" x14ac:dyDescent="0.3">
      <c r="A87" s="21" t="s">
        <v>80</v>
      </c>
      <c r="B87" s="20" t="s">
        <v>5</v>
      </c>
      <c r="C87" s="20" t="s">
        <v>6</v>
      </c>
      <c r="D87" s="20" t="s">
        <v>7</v>
      </c>
      <c r="E87" s="20" t="s">
        <v>8</v>
      </c>
      <c r="F87" s="20" t="s">
        <v>9</v>
      </c>
      <c r="G87" s="20" t="s">
        <v>10</v>
      </c>
      <c r="H87" s="20" t="s">
        <v>11</v>
      </c>
      <c r="I87" s="20" t="s">
        <v>12</v>
      </c>
      <c r="J87" s="20" t="s">
        <v>13</v>
      </c>
      <c r="K87" s="20" t="s">
        <v>14</v>
      </c>
      <c r="L87" s="20" t="s">
        <v>15</v>
      </c>
      <c r="M87" s="20" t="s">
        <v>16</v>
      </c>
      <c r="N87" s="30" t="s">
        <v>18</v>
      </c>
      <c r="O87" s="39" t="s">
        <v>135</v>
      </c>
      <c r="P87" s="20" t="s">
        <v>189</v>
      </c>
    </row>
    <row r="88" spans="1:20" x14ac:dyDescent="0.3">
      <c r="A88" s="31" t="s">
        <v>81</v>
      </c>
      <c r="B88" s="25"/>
      <c r="C88" s="25"/>
      <c r="D88" s="25"/>
      <c r="E88" s="25"/>
      <c r="F88" s="25"/>
      <c r="G88" s="25"/>
      <c r="H88" s="25"/>
      <c r="I88" s="25"/>
      <c r="J88" s="25"/>
      <c r="K88" s="25"/>
      <c r="L88" s="25"/>
      <c r="M88" s="25"/>
      <c r="N88" s="40">
        <f t="shared" ref="N88:N95" si="18">SUM(B88:M88)</f>
        <v>0</v>
      </c>
      <c r="O88" s="40">
        <f>IFERROR(AVERAGEIF(Table6[[#This Row],[JAN]:[DEC]], "&gt;0"), 0)</f>
        <v>0</v>
      </c>
      <c r="P88" s="72" t="s">
        <v>191</v>
      </c>
    </row>
    <row r="89" spans="1:20" ht="26" x14ac:dyDescent="0.3">
      <c r="A89" s="31" t="s">
        <v>82</v>
      </c>
      <c r="B89" s="25">
        <v>1200</v>
      </c>
      <c r="C89" s="25">
        <v>1200</v>
      </c>
      <c r="D89" s="25">
        <v>1050</v>
      </c>
      <c r="E89" s="25"/>
      <c r="F89" s="25"/>
      <c r="G89" s="25"/>
      <c r="H89" s="25"/>
      <c r="I89" s="25"/>
      <c r="J89" s="25"/>
      <c r="K89" s="25"/>
      <c r="L89" s="25"/>
      <c r="M89" s="25"/>
      <c r="N89" s="40">
        <f t="shared" si="18"/>
        <v>3450</v>
      </c>
      <c r="O89" s="40">
        <f>IFERROR(AVERAGEIF(Table6[[#This Row],[JAN]:[DEC]], "&gt;0"), 0)</f>
        <v>1150</v>
      </c>
      <c r="P89" s="72" t="s">
        <v>191</v>
      </c>
    </row>
    <row r="90" spans="1:20" x14ac:dyDescent="0.3">
      <c r="A90" s="24" t="s">
        <v>83</v>
      </c>
      <c r="B90" s="25"/>
      <c r="C90" s="25"/>
      <c r="D90" s="25"/>
      <c r="E90" s="25"/>
      <c r="F90" s="25"/>
      <c r="G90" s="25"/>
      <c r="H90" s="25"/>
      <c r="I90" s="25"/>
      <c r="J90" s="25"/>
      <c r="K90" s="25"/>
      <c r="L90" s="25"/>
      <c r="M90" s="25"/>
      <c r="N90" s="41">
        <f t="shared" ref="N90:N93" si="19">SUM(B90:M90)</f>
        <v>0</v>
      </c>
      <c r="O90" s="40">
        <f>IFERROR(AVERAGEIF(Table6[[#This Row],[JAN]:[DEC]], "&gt;0"), 0)</f>
        <v>0</v>
      </c>
      <c r="P90" s="72" t="s">
        <v>192</v>
      </c>
    </row>
    <row r="91" spans="1:20" x14ac:dyDescent="0.3">
      <c r="A91" s="24" t="s">
        <v>84</v>
      </c>
      <c r="B91" s="25"/>
      <c r="C91" s="25"/>
      <c r="D91" s="25"/>
      <c r="E91" s="25"/>
      <c r="F91" s="25"/>
      <c r="G91" s="25"/>
      <c r="H91" s="25"/>
      <c r="I91" s="25"/>
      <c r="J91" s="25"/>
      <c r="K91" s="25"/>
      <c r="L91" s="25"/>
      <c r="M91" s="25"/>
      <c r="N91" s="41">
        <f t="shared" si="19"/>
        <v>0</v>
      </c>
      <c r="O91" s="40">
        <f>IFERROR(AVERAGEIF(Table6[[#This Row],[JAN]:[DEC]], "&gt;0"), 0)</f>
        <v>0</v>
      </c>
      <c r="P91" s="72" t="s">
        <v>191</v>
      </c>
    </row>
    <row r="92" spans="1:20" x14ac:dyDescent="0.3">
      <c r="A92" s="24" t="s">
        <v>85</v>
      </c>
      <c r="B92" s="25"/>
      <c r="C92" s="25"/>
      <c r="D92" s="25"/>
      <c r="E92" s="25"/>
      <c r="F92" s="25"/>
      <c r="G92" s="25"/>
      <c r="H92" s="25"/>
      <c r="I92" s="25"/>
      <c r="J92" s="25"/>
      <c r="K92" s="25"/>
      <c r="L92" s="25"/>
      <c r="M92" s="25"/>
      <c r="N92" s="41">
        <f t="shared" si="19"/>
        <v>0</v>
      </c>
      <c r="O92" s="40">
        <f>IFERROR(AVERAGEIF(Table6[[#This Row],[JAN]:[DEC]], "&gt;0"), 0)</f>
        <v>0</v>
      </c>
      <c r="P92" s="72" t="s">
        <v>192</v>
      </c>
    </row>
    <row r="93" spans="1:20" x14ac:dyDescent="0.3">
      <c r="A93" s="24" t="s">
        <v>86</v>
      </c>
      <c r="B93" s="25"/>
      <c r="C93" s="25"/>
      <c r="D93" s="25"/>
      <c r="E93" s="25"/>
      <c r="F93" s="25"/>
      <c r="G93" s="25"/>
      <c r="H93" s="25"/>
      <c r="I93" s="25"/>
      <c r="J93" s="25"/>
      <c r="K93" s="25"/>
      <c r="L93" s="25"/>
      <c r="M93" s="25"/>
      <c r="N93" s="41">
        <f t="shared" si="19"/>
        <v>0</v>
      </c>
      <c r="O93" s="40">
        <f>IFERROR(AVERAGEIF(Table6[[#This Row],[JAN]:[DEC]], "&gt;0"), 0)</f>
        <v>0</v>
      </c>
      <c r="P93" s="72" t="s">
        <v>191</v>
      </c>
    </row>
    <row r="94" spans="1:20" x14ac:dyDescent="0.3">
      <c r="A94" s="31" t="s">
        <v>87</v>
      </c>
      <c r="B94" s="25"/>
      <c r="C94" s="25"/>
      <c r="D94" s="25"/>
      <c r="E94" s="25"/>
      <c r="F94" s="25"/>
      <c r="G94" s="25"/>
      <c r="H94" s="25"/>
      <c r="I94" s="25"/>
      <c r="J94" s="25"/>
      <c r="K94" s="25"/>
      <c r="L94" s="25"/>
      <c r="M94" s="25"/>
      <c r="N94" s="40">
        <f t="shared" si="18"/>
        <v>0</v>
      </c>
      <c r="O94" s="40">
        <f>IFERROR(AVERAGEIF(Table6[[#This Row],[JAN]:[DEC]], "&gt;0"), 0)</f>
        <v>0</v>
      </c>
      <c r="P94" s="72" t="s">
        <v>191</v>
      </c>
    </row>
    <row r="95" spans="1:20" x14ac:dyDescent="0.3">
      <c r="A95" s="31" t="s">
        <v>88</v>
      </c>
      <c r="B95" s="25"/>
      <c r="C95" s="25"/>
      <c r="D95" s="25"/>
      <c r="E95" s="25"/>
      <c r="F95" s="25"/>
      <c r="G95" s="25"/>
      <c r="H95" s="25"/>
      <c r="I95" s="25"/>
      <c r="J95" s="25"/>
      <c r="K95" s="25"/>
      <c r="L95" s="25"/>
      <c r="M95" s="25"/>
      <c r="N95" s="40">
        <f t="shared" si="18"/>
        <v>0</v>
      </c>
      <c r="O95" s="40">
        <f>IFERROR(AVERAGEIF(Table6[[#This Row],[JAN]:[DEC]], "&gt;0"), 0)</f>
        <v>0</v>
      </c>
      <c r="P95" s="72" t="s">
        <v>191</v>
      </c>
    </row>
    <row r="96" spans="1:20" x14ac:dyDescent="0.3">
      <c r="A96" s="31" t="s">
        <v>89</v>
      </c>
      <c r="B96" s="25"/>
      <c r="C96" s="25"/>
      <c r="D96" s="25"/>
      <c r="E96" s="25"/>
      <c r="F96" s="25"/>
      <c r="G96" s="25"/>
      <c r="H96" s="25"/>
      <c r="I96" s="25"/>
      <c r="J96" s="25"/>
      <c r="K96" s="25"/>
      <c r="L96" s="25"/>
      <c r="M96" s="25"/>
      <c r="N96" s="41">
        <f t="shared" ref="N96:N98" si="20">SUM(B96:M96)</f>
        <v>0</v>
      </c>
      <c r="O96" s="40">
        <f>IFERROR(AVERAGEIF(Table6[[#This Row],[JAN]:[DEC]], "&gt;0"), 0)</f>
        <v>0</v>
      </c>
      <c r="P96" s="72" t="s">
        <v>191</v>
      </c>
    </row>
    <row r="97" spans="1:20" x14ac:dyDescent="0.3">
      <c r="A97" s="31" t="s">
        <v>90</v>
      </c>
      <c r="B97" s="25"/>
      <c r="C97" s="25"/>
      <c r="D97" s="25"/>
      <c r="E97" s="25"/>
      <c r="F97" s="25"/>
      <c r="G97" s="25"/>
      <c r="H97" s="25"/>
      <c r="I97" s="25"/>
      <c r="J97" s="25"/>
      <c r="K97" s="25"/>
      <c r="L97" s="25"/>
      <c r="M97" s="25"/>
      <c r="N97" s="41">
        <f t="shared" si="20"/>
        <v>0</v>
      </c>
      <c r="O97" s="40">
        <f>IFERROR(AVERAGEIF(Table6[[#This Row],[JAN]:[DEC]], "&gt;0"), 0)</f>
        <v>0</v>
      </c>
      <c r="P97" s="72" t="s">
        <v>191</v>
      </c>
    </row>
    <row r="98" spans="1:20" x14ac:dyDescent="0.3">
      <c r="A98" s="31" t="s">
        <v>91</v>
      </c>
      <c r="B98" s="25"/>
      <c r="C98" s="25"/>
      <c r="D98" s="25"/>
      <c r="E98" s="25"/>
      <c r="F98" s="25"/>
      <c r="G98" s="25"/>
      <c r="H98" s="25"/>
      <c r="I98" s="25"/>
      <c r="J98" s="25"/>
      <c r="K98" s="25"/>
      <c r="L98" s="25"/>
      <c r="M98" s="25"/>
      <c r="N98" s="41">
        <f t="shared" si="20"/>
        <v>0</v>
      </c>
      <c r="O98" s="40">
        <f>IFERROR(AVERAGEIF(Table6[[#This Row],[JAN]:[DEC]], "&gt;0"), 0)</f>
        <v>0</v>
      </c>
      <c r="P98" s="72" t="s">
        <v>191</v>
      </c>
    </row>
    <row r="99" spans="1:20" ht="13.5" thickBot="1" x14ac:dyDescent="0.35">
      <c r="A99" s="29" t="s">
        <v>140</v>
      </c>
      <c r="B99" s="42">
        <f>SUBTOTAL(109,Table6[JAN])</f>
        <v>1200</v>
      </c>
      <c r="C99" s="42">
        <f>SUBTOTAL(109,Table6[FEB])</f>
        <v>1200</v>
      </c>
      <c r="D99" s="42">
        <f>SUBTOTAL(109,Table6[MAR])</f>
        <v>1050</v>
      </c>
      <c r="E99" s="42">
        <f>SUBTOTAL(109,Table6[APR])</f>
        <v>0</v>
      </c>
      <c r="F99" s="42">
        <f>SUBTOTAL(109,Table6[MAY])</f>
        <v>0</v>
      </c>
      <c r="G99" s="42">
        <f>SUBTOTAL(109,Table6[JUN])</f>
        <v>0</v>
      </c>
      <c r="H99" s="42">
        <f>SUBTOTAL(109,Table6[JUL])</f>
        <v>0</v>
      </c>
      <c r="I99" s="42">
        <f>SUBTOTAL(109,Table6[AUG])</f>
        <v>0</v>
      </c>
      <c r="J99" s="42">
        <f>SUBTOTAL(109,Table6[SEP])</f>
        <v>0</v>
      </c>
      <c r="K99" s="42">
        <f>SUBTOTAL(109,Table6[OCT])</f>
        <v>0</v>
      </c>
      <c r="L99" s="42">
        <f>SUBTOTAL(109,Table6[NOV])</f>
        <v>0</v>
      </c>
      <c r="M99" s="42">
        <f>SUBTOTAL(109,Table6[DEC])</f>
        <v>0</v>
      </c>
      <c r="N99" s="42">
        <f>SUBTOTAL(109,Table6[Total])</f>
        <v>3450</v>
      </c>
      <c r="O99" s="42">
        <f>SUBTOTAL(109,Table6[Monthly Avg])</f>
        <v>1150</v>
      </c>
      <c r="P99" s="69"/>
      <c r="R99" s="12">
        <f>SUMIFS(Table6[Total], Table6[Category], "Needs")</f>
        <v>3450</v>
      </c>
      <c r="S99" s="12">
        <f>SUMIFS(Table6[Total], Table6[Category], "Wants")</f>
        <v>0</v>
      </c>
      <c r="T99" s="12">
        <f>SUMIFS(Table6[Total], Table6[Category], "Savings")</f>
        <v>0</v>
      </c>
    </row>
    <row r="100" spans="1:20" ht="13.5" thickTop="1" x14ac:dyDescent="0.3"/>
    <row r="101" spans="1:20" x14ac:dyDescent="0.3">
      <c r="A101" s="21" t="s">
        <v>151</v>
      </c>
      <c r="B101" s="20" t="s">
        <v>5</v>
      </c>
      <c r="C101" s="20" t="s">
        <v>6</v>
      </c>
      <c r="D101" s="20" t="s">
        <v>7</v>
      </c>
      <c r="E101" s="20" t="s">
        <v>8</v>
      </c>
      <c r="F101" s="20" t="s">
        <v>9</v>
      </c>
      <c r="G101" s="20" t="s">
        <v>10</v>
      </c>
      <c r="H101" s="20" t="s">
        <v>11</v>
      </c>
      <c r="I101" s="20" t="s">
        <v>12</v>
      </c>
      <c r="J101" s="20" t="s">
        <v>13</v>
      </c>
      <c r="K101" s="20" t="s">
        <v>14</v>
      </c>
      <c r="L101" s="20" t="s">
        <v>15</v>
      </c>
      <c r="M101" s="20" t="s">
        <v>16</v>
      </c>
      <c r="N101" s="30" t="s">
        <v>18</v>
      </c>
      <c r="O101" s="39" t="s">
        <v>135</v>
      </c>
      <c r="P101" s="20" t="s">
        <v>189</v>
      </c>
    </row>
    <row r="102" spans="1:20" x14ac:dyDescent="0.3">
      <c r="A102" s="31" t="s">
        <v>157</v>
      </c>
      <c r="B102" s="25"/>
      <c r="C102" s="25"/>
      <c r="D102" s="25"/>
      <c r="E102" s="25"/>
      <c r="F102" s="25"/>
      <c r="G102" s="25"/>
      <c r="H102" s="25"/>
      <c r="I102" s="25"/>
      <c r="J102" s="25"/>
      <c r="K102" s="25"/>
      <c r="L102" s="25"/>
      <c r="M102" s="25"/>
      <c r="N102" s="40">
        <f t="shared" ref="N102:N110" si="21">SUM(B102:M102)</f>
        <v>0</v>
      </c>
      <c r="O102" s="40">
        <f>IFERROR(AVERAGEIF(Table7[[#This Row],[JAN]:[DEC]], "&gt;0"), 0)</f>
        <v>0</v>
      </c>
      <c r="P102" s="72" t="s">
        <v>191</v>
      </c>
    </row>
    <row r="103" spans="1:20" x14ac:dyDescent="0.3">
      <c r="A103" s="31" t="s">
        <v>152</v>
      </c>
      <c r="B103" s="25"/>
      <c r="C103" s="25"/>
      <c r="D103" s="25"/>
      <c r="E103" s="25"/>
      <c r="F103" s="25"/>
      <c r="G103" s="25"/>
      <c r="H103" s="25"/>
      <c r="I103" s="25"/>
      <c r="J103" s="25"/>
      <c r="K103" s="25"/>
      <c r="L103" s="25"/>
      <c r="M103" s="25"/>
      <c r="N103" s="40">
        <f t="shared" si="21"/>
        <v>0</v>
      </c>
      <c r="O103" s="40">
        <f>IFERROR(AVERAGEIF(Table7[[#This Row],[JAN]:[DEC]], "&gt;0"), 0)</f>
        <v>0</v>
      </c>
      <c r="P103" s="72" t="s">
        <v>191</v>
      </c>
    </row>
    <row r="104" spans="1:20" x14ac:dyDescent="0.3">
      <c r="A104" s="24" t="s">
        <v>153</v>
      </c>
      <c r="B104" s="25">
        <v>200</v>
      </c>
      <c r="C104" s="25">
        <v>250</v>
      </c>
      <c r="D104" s="25">
        <v>250</v>
      </c>
      <c r="E104" s="25">
        <v>200</v>
      </c>
      <c r="F104" s="25"/>
      <c r="G104" s="25"/>
      <c r="H104" s="25"/>
      <c r="I104" s="25"/>
      <c r="J104" s="25"/>
      <c r="K104" s="25"/>
      <c r="L104" s="25"/>
      <c r="M104" s="25"/>
      <c r="N104" s="41">
        <f t="shared" si="21"/>
        <v>900</v>
      </c>
      <c r="O104" s="40">
        <f>IFERROR(AVERAGEIF(Table7[[#This Row],[JAN]:[DEC]], "&gt;0"), 0)</f>
        <v>225</v>
      </c>
      <c r="P104" s="72" t="s">
        <v>192</v>
      </c>
    </row>
    <row r="105" spans="1:20" x14ac:dyDescent="0.3">
      <c r="A105" s="24" t="s">
        <v>154</v>
      </c>
      <c r="B105" s="25"/>
      <c r="C105" s="25"/>
      <c r="D105" s="25"/>
      <c r="E105" s="25"/>
      <c r="F105" s="25"/>
      <c r="G105" s="25"/>
      <c r="H105" s="25"/>
      <c r="I105" s="25"/>
      <c r="J105" s="25"/>
      <c r="K105" s="25"/>
      <c r="L105" s="25"/>
      <c r="M105" s="25"/>
      <c r="N105" s="41">
        <f t="shared" si="21"/>
        <v>0</v>
      </c>
      <c r="O105" s="40">
        <f>IFERROR(AVERAGEIF(Table7[[#This Row],[JAN]:[DEC]], "&gt;0"), 0)</f>
        <v>0</v>
      </c>
      <c r="P105" s="72" t="s">
        <v>191</v>
      </c>
    </row>
    <row r="106" spans="1:20" x14ac:dyDescent="0.3">
      <c r="A106" s="24" t="s">
        <v>155</v>
      </c>
      <c r="B106" s="25"/>
      <c r="C106" s="25"/>
      <c r="D106" s="25"/>
      <c r="E106" s="25"/>
      <c r="F106" s="25"/>
      <c r="G106" s="25"/>
      <c r="H106" s="25"/>
      <c r="I106" s="25"/>
      <c r="J106" s="25"/>
      <c r="K106" s="25"/>
      <c r="L106" s="25"/>
      <c r="M106" s="25"/>
      <c r="N106" s="41">
        <f t="shared" si="21"/>
        <v>0</v>
      </c>
      <c r="O106" s="40">
        <f>IFERROR(AVERAGEIF(Table7[[#This Row],[JAN]:[DEC]], "&gt;0"), 0)</f>
        <v>0</v>
      </c>
      <c r="P106" s="72" t="s">
        <v>191</v>
      </c>
    </row>
    <row r="107" spans="1:20" x14ac:dyDescent="0.3">
      <c r="A107" s="24" t="s">
        <v>90</v>
      </c>
      <c r="B107" s="25"/>
      <c r="C107" s="25"/>
      <c r="D107" s="25"/>
      <c r="E107" s="25"/>
      <c r="F107" s="25"/>
      <c r="G107" s="25"/>
      <c r="H107" s="25"/>
      <c r="I107" s="25"/>
      <c r="J107" s="25"/>
      <c r="K107" s="25"/>
      <c r="L107" s="25"/>
      <c r="M107" s="25"/>
      <c r="N107" s="41">
        <f t="shared" si="21"/>
        <v>0</v>
      </c>
      <c r="O107" s="40">
        <f>IFERROR(AVERAGEIF(Table7[[#This Row],[JAN]:[DEC]], "&gt;0"), 0)</f>
        <v>0</v>
      </c>
      <c r="P107" s="72" t="s">
        <v>191</v>
      </c>
    </row>
    <row r="108" spans="1:20" x14ac:dyDescent="0.3">
      <c r="A108" s="31" t="s">
        <v>156</v>
      </c>
      <c r="B108" s="25"/>
      <c r="C108" s="25"/>
      <c r="D108" s="25"/>
      <c r="E108" s="25"/>
      <c r="F108" s="25"/>
      <c r="G108" s="25"/>
      <c r="H108" s="25"/>
      <c r="I108" s="25"/>
      <c r="J108" s="25"/>
      <c r="K108" s="25"/>
      <c r="L108" s="25"/>
      <c r="M108" s="25"/>
      <c r="N108" s="40">
        <f t="shared" si="21"/>
        <v>0</v>
      </c>
      <c r="O108" s="40">
        <f>IFERROR(AVERAGEIF(Table7[[#This Row],[JAN]:[DEC]], "&gt;0"), 0)</f>
        <v>0</v>
      </c>
      <c r="P108" s="72" t="s">
        <v>191</v>
      </c>
    </row>
    <row r="109" spans="1:20" x14ac:dyDescent="0.3">
      <c r="A109" s="31" t="s">
        <v>158</v>
      </c>
      <c r="B109" s="25"/>
      <c r="C109" s="25"/>
      <c r="D109" s="25"/>
      <c r="E109" s="25"/>
      <c r="F109" s="25"/>
      <c r="G109" s="25"/>
      <c r="H109" s="25"/>
      <c r="I109" s="25"/>
      <c r="J109" s="25"/>
      <c r="K109" s="25"/>
      <c r="L109" s="25"/>
      <c r="M109" s="25"/>
      <c r="N109" s="40">
        <f t="shared" si="21"/>
        <v>0</v>
      </c>
      <c r="O109" s="40">
        <f>IFERROR(AVERAGEIF(Table7[[#This Row],[JAN]:[DEC]], "&gt;0"), 0)</f>
        <v>0</v>
      </c>
      <c r="P109" s="72" t="s">
        <v>192</v>
      </c>
    </row>
    <row r="110" spans="1:20" x14ac:dyDescent="0.3">
      <c r="A110" s="31" t="s">
        <v>159</v>
      </c>
      <c r="B110" s="25"/>
      <c r="C110" s="25"/>
      <c r="D110" s="25"/>
      <c r="E110" s="25"/>
      <c r="F110" s="25"/>
      <c r="G110" s="25"/>
      <c r="H110" s="25"/>
      <c r="I110" s="25"/>
      <c r="J110" s="25"/>
      <c r="K110" s="25"/>
      <c r="L110" s="25"/>
      <c r="M110" s="25"/>
      <c r="N110" s="41">
        <f t="shared" si="21"/>
        <v>0</v>
      </c>
      <c r="O110" s="40">
        <f>IFERROR(AVERAGEIF(Table7[[#This Row],[JAN]:[DEC]], "&gt;0"), 0)</f>
        <v>0</v>
      </c>
      <c r="P110" s="72" t="s">
        <v>191</v>
      </c>
    </row>
    <row r="111" spans="1:20" ht="13.5" thickBot="1" x14ac:dyDescent="0.35">
      <c r="A111" s="29" t="s">
        <v>160</v>
      </c>
      <c r="B111" s="42">
        <f>SUBTOTAL(109,Table7[JAN])</f>
        <v>200</v>
      </c>
      <c r="C111" s="42">
        <f>SUBTOTAL(109,Table7[FEB])</f>
        <v>250</v>
      </c>
      <c r="D111" s="42">
        <f>SUBTOTAL(109,Table7[MAR])</f>
        <v>250</v>
      </c>
      <c r="E111" s="42">
        <f>SUBTOTAL(109,Table7[APR])</f>
        <v>200</v>
      </c>
      <c r="F111" s="42">
        <f>SUBTOTAL(109,Table7[MAY])</f>
        <v>0</v>
      </c>
      <c r="G111" s="42">
        <f>SUBTOTAL(109,Table7[JUN])</f>
        <v>0</v>
      </c>
      <c r="H111" s="42">
        <f>SUBTOTAL(109,Table7[JUL])</f>
        <v>0</v>
      </c>
      <c r="I111" s="42">
        <f>SUBTOTAL(109,Table7[AUG])</f>
        <v>0</v>
      </c>
      <c r="J111" s="42">
        <f>SUBTOTAL(109,Table7[SEP])</f>
        <v>0</v>
      </c>
      <c r="K111" s="42">
        <f>SUBTOTAL(109,Table7[OCT])</f>
        <v>0</v>
      </c>
      <c r="L111" s="42">
        <f>SUBTOTAL(109,Table7[NOV])</f>
        <v>0</v>
      </c>
      <c r="M111" s="42">
        <f>SUBTOTAL(109,Table7[DEC])</f>
        <v>0</v>
      </c>
      <c r="N111" s="42">
        <f>SUBTOTAL(109,Table7[Total])</f>
        <v>900</v>
      </c>
      <c r="O111" s="42">
        <f>SUBTOTAL(109,Table7[Monthly Avg])</f>
        <v>225</v>
      </c>
      <c r="P111" s="69"/>
      <c r="R111" s="12">
        <f>SUMIFS(Table7[Total], Table7[Category], "Needs")</f>
        <v>0</v>
      </c>
      <c r="S111" s="12">
        <f>SUMIFS(Table7[Total], Table7[Category], "Wants")</f>
        <v>900</v>
      </c>
      <c r="T111" s="12">
        <f>SUMIFS(Table7[Total], Table7[Category], "Savings")</f>
        <v>0</v>
      </c>
    </row>
    <row r="112" spans="1:20" ht="13.5" thickTop="1" x14ac:dyDescent="0.3"/>
    <row r="114" spans="1:20" x14ac:dyDescent="0.3">
      <c r="A114" s="21" t="s">
        <v>92</v>
      </c>
      <c r="B114" s="20" t="s">
        <v>5</v>
      </c>
      <c r="C114" s="20" t="s">
        <v>6</v>
      </c>
      <c r="D114" s="20" t="s">
        <v>7</v>
      </c>
      <c r="E114" s="20" t="s">
        <v>8</v>
      </c>
      <c r="F114" s="20" t="s">
        <v>9</v>
      </c>
      <c r="G114" s="20" t="s">
        <v>10</v>
      </c>
      <c r="H114" s="20" t="s">
        <v>11</v>
      </c>
      <c r="I114" s="20" t="s">
        <v>12</v>
      </c>
      <c r="J114" s="20" t="s">
        <v>13</v>
      </c>
      <c r="K114" s="20" t="s">
        <v>14</v>
      </c>
      <c r="L114" s="20" t="s">
        <v>15</v>
      </c>
      <c r="M114" s="20" t="s">
        <v>16</v>
      </c>
      <c r="N114" s="30" t="s">
        <v>18</v>
      </c>
      <c r="O114" s="39" t="s">
        <v>135</v>
      </c>
      <c r="P114" s="20" t="s">
        <v>189</v>
      </c>
    </row>
    <row r="115" spans="1:20" x14ac:dyDescent="0.3">
      <c r="A115" s="31" t="s">
        <v>93</v>
      </c>
      <c r="B115" s="25"/>
      <c r="C115" s="25"/>
      <c r="D115" s="25"/>
      <c r="E115" s="25"/>
      <c r="F115" s="25"/>
      <c r="G115" s="25"/>
      <c r="H115" s="25"/>
      <c r="I115" s="25"/>
      <c r="J115" s="25"/>
      <c r="K115" s="25"/>
      <c r="L115" s="25"/>
      <c r="M115" s="25"/>
      <c r="N115" s="40">
        <f t="shared" ref="N115:N116" si="22">SUM(B115:M115)</f>
        <v>0</v>
      </c>
      <c r="O115" s="40">
        <f>IFERROR(AVERAGEIF(Table8[[#This Row],[JAN]:[DEC]], "&gt;0"), 0)</f>
        <v>0</v>
      </c>
      <c r="P115" s="72" t="s">
        <v>192</v>
      </c>
    </row>
    <row r="116" spans="1:20" x14ac:dyDescent="0.3">
      <c r="A116" s="31" t="s">
        <v>94</v>
      </c>
      <c r="B116" s="25">
        <v>150</v>
      </c>
      <c r="C116" s="25">
        <v>130</v>
      </c>
      <c r="D116" s="25">
        <v>120</v>
      </c>
      <c r="E116" s="25"/>
      <c r="F116" s="25"/>
      <c r="G116" s="25"/>
      <c r="H116" s="25"/>
      <c r="I116" s="25"/>
      <c r="J116" s="25"/>
      <c r="K116" s="25"/>
      <c r="L116" s="25"/>
      <c r="M116" s="25"/>
      <c r="N116" s="40">
        <f t="shared" si="22"/>
        <v>400</v>
      </c>
      <c r="O116" s="40">
        <f>IFERROR(AVERAGEIF(Table8[[#This Row],[JAN]:[DEC]], "&gt;0"), 0)</f>
        <v>133.33333333333334</v>
      </c>
      <c r="P116" s="72" t="s">
        <v>192</v>
      </c>
    </row>
    <row r="117" spans="1:20" x14ac:dyDescent="0.3">
      <c r="A117" s="24" t="s">
        <v>95</v>
      </c>
      <c r="B117" s="25"/>
      <c r="C117" s="25"/>
      <c r="D117" s="25"/>
      <c r="E117" s="25"/>
      <c r="F117" s="25"/>
      <c r="G117" s="25"/>
      <c r="H117" s="25"/>
      <c r="I117" s="25"/>
      <c r="J117" s="25"/>
      <c r="K117" s="25"/>
      <c r="L117" s="25"/>
      <c r="M117" s="25"/>
      <c r="N117" s="41">
        <f t="shared" ref="N117:N120" si="23">SUM(B117:M117)</f>
        <v>0</v>
      </c>
      <c r="O117" s="40">
        <f>IFERROR(AVERAGEIF(Table8[[#This Row],[JAN]:[DEC]], "&gt;0"), 0)</f>
        <v>0</v>
      </c>
      <c r="P117" s="72" t="s">
        <v>192</v>
      </c>
    </row>
    <row r="118" spans="1:20" x14ac:dyDescent="0.3">
      <c r="A118" s="24" t="s">
        <v>96</v>
      </c>
      <c r="B118" s="25"/>
      <c r="C118" s="25"/>
      <c r="D118" s="25"/>
      <c r="E118" s="25"/>
      <c r="F118" s="25"/>
      <c r="G118" s="25"/>
      <c r="H118" s="25"/>
      <c r="I118" s="25"/>
      <c r="J118" s="25"/>
      <c r="K118" s="25"/>
      <c r="L118" s="25"/>
      <c r="M118" s="25"/>
      <c r="N118" s="41">
        <f t="shared" si="23"/>
        <v>0</v>
      </c>
      <c r="O118" s="40">
        <f>IFERROR(AVERAGEIF(Table8[[#This Row],[JAN]:[DEC]], "&gt;0"), 0)</f>
        <v>0</v>
      </c>
      <c r="P118" s="72" t="s">
        <v>192</v>
      </c>
    </row>
    <row r="119" spans="1:20" x14ac:dyDescent="0.3">
      <c r="A119" s="24" t="s">
        <v>97</v>
      </c>
      <c r="B119" s="25"/>
      <c r="C119" s="25"/>
      <c r="D119" s="25"/>
      <c r="E119" s="25"/>
      <c r="F119" s="25"/>
      <c r="G119" s="25"/>
      <c r="H119" s="25"/>
      <c r="I119" s="25"/>
      <c r="J119" s="25"/>
      <c r="K119" s="25"/>
      <c r="L119" s="25"/>
      <c r="M119" s="25"/>
      <c r="N119" s="41">
        <f t="shared" si="23"/>
        <v>0</v>
      </c>
      <c r="O119" s="40">
        <f>IFERROR(AVERAGEIF(Table8[[#This Row],[JAN]:[DEC]], "&gt;0"), 0)</f>
        <v>0</v>
      </c>
      <c r="P119" s="72" t="s">
        <v>192</v>
      </c>
    </row>
    <row r="120" spans="1:20" x14ac:dyDescent="0.3">
      <c r="A120" s="24" t="s">
        <v>98</v>
      </c>
      <c r="B120" s="25"/>
      <c r="C120" s="25"/>
      <c r="D120" s="25"/>
      <c r="E120" s="25"/>
      <c r="F120" s="25"/>
      <c r="G120" s="25"/>
      <c r="H120" s="25"/>
      <c r="I120" s="25"/>
      <c r="J120" s="25"/>
      <c r="K120" s="25"/>
      <c r="L120" s="25"/>
      <c r="M120" s="25"/>
      <c r="N120" s="41">
        <f t="shared" si="23"/>
        <v>0</v>
      </c>
      <c r="O120" s="40">
        <f>IFERROR(AVERAGEIF(Table8[[#This Row],[JAN]:[DEC]], "&gt;0"), 0)</f>
        <v>0</v>
      </c>
      <c r="P120" s="72" t="s">
        <v>192</v>
      </c>
    </row>
    <row r="121" spans="1:20" x14ac:dyDescent="0.3">
      <c r="A121" s="31" t="s">
        <v>99</v>
      </c>
      <c r="B121" s="25"/>
      <c r="C121" s="25"/>
      <c r="D121" s="25"/>
      <c r="E121" s="25"/>
      <c r="F121" s="25"/>
      <c r="G121" s="25"/>
      <c r="H121" s="25"/>
      <c r="I121" s="25"/>
      <c r="J121" s="25"/>
      <c r="K121" s="25"/>
      <c r="L121" s="25"/>
      <c r="M121" s="25"/>
      <c r="N121" s="40">
        <f t="shared" ref="N121:N122" si="24">SUM(B121:M121)</f>
        <v>0</v>
      </c>
      <c r="O121" s="40">
        <f>IFERROR(AVERAGEIF(Table8[[#This Row],[JAN]:[DEC]], "&gt;0"), 0)</f>
        <v>0</v>
      </c>
      <c r="P121" s="72" t="s">
        <v>192</v>
      </c>
    </row>
    <row r="122" spans="1:20" x14ac:dyDescent="0.3">
      <c r="A122" s="31" t="s">
        <v>100</v>
      </c>
      <c r="B122" s="25"/>
      <c r="C122" s="25"/>
      <c r="D122" s="25"/>
      <c r="E122" s="25"/>
      <c r="F122" s="25"/>
      <c r="G122" s="25"/>
      <c r="H122" s="25"/>
      <c r="I122" s="25"/>
      <c r="J122" s="25"/>
      <c r="K122" s="25"/>
      <c r="L122" s="25"/>
      <c r="M122" s="25"/>
      <c r="N122" s="40">
        <f t="shared" si="24"/>
        <v>0</v>
      </c>
      <c r="O122" s="40">
        <f>IFERROR(AVERAGEIF(Table8[[#This Row],[JAN]:[DEC]], "&gt;0"), 0)</f>
        <v>0</v>
      </c>
      <c r="P122" s="72" t="s">
        <v>192</v>
      </c>
    </row>
    <row r="123" spans="1:20" x14ac:dyDescent="0.3">
      <c r="A123" s="31" t="s">
        <v>101</v>
      </c>
      <c r="B123" s="25"/>
      <c r="C123" s="25"/>
      <c r="D123" s="25"/>
      <c r="E123" s="25"/>
      <c r="F123" s="25"/>
      <c r="G123" s="25"/>
      <c r="H123" s="25"/>
      <c r="I123" s="25"/>
      <c r="J123" s="25"/>
      <c r="K123" s="25"/>
      <c r="L123" s="25"/>
      <c r="M123" s="25"/>
      <c r="N123" s="41">
        <f t="shared" ref="N123" si="25">SUM(B123:M123)</f>
        <v>0</v>
      </c>
      <c r="O123" s="40">
        <f>IFERROR(AVERAGEIF(Table8[[#This Row],[JAN]:[DEC]], "&gt;0"), 0)</f>
        <v>0</v>
      </c>
      <c r="P123" s="72" t="s">
        <v>192</v>
      </c>
    </row>
    <row r="124" spans="1:20" ht="13.5" thickBot="1" x14ac:dyDescent="0.35">
      <c r="A124" s="29" t="s">
        <v>141</v>
      </c>
      <c r="B124" s="42">
        <f>SUBTOTAL(109,Table8[JAN])</f>
        <v>150</v>
      </c>
      <c r="C124" s="42">
        <f>SUBTOTAL(109,Table8[FEB])</f>
        <v>130</v>
      </c>
      <c r="D124" s="42">
        <f>SUBTOTAL(109,Table8[MAR])</f>
        <v>120</v>
      </c>
      <c r="E124" s="42">
        <f>SUBTOTAL(109,Table8[APR])</f>
        <v>0</v>
      </c>
      <c r="F124" s="42">
        <f>SUBTOTAL(109,Table8[MAY])</f>
        <v>0</v>
      </c>
      <c r="G124" s="42">
        <f>SUBTOTAL(109,Table8[JUN])</f>
        <v>0</v>
      </c>
      <c r="H124" s="42">
        <f>SUBTOTAL(109,Table8[JUL])</f>
        <v>0</v>
      </c>
      <c r="I124" s="42">
        <f>SUBTOTAL(109,Table8[AUG])</f>
        <v>0</v>
      </c>
      <c r="J124" s="42">
        <f>SUBTOTAL(109,Table8[SEP])</f>
        <v>0</v>
      </c>
      <c r="K124" s="42">
        <f>SUBTOTAL(109,Table8[OCT])</f>
        <v>0</v>
      </c>
      <c r="L124" s="42">
        <f>SUBTOTAL(109,Table8[NOV])</f>
        <v>0</v>
      </c>
      <c r="M124" s="42">
        <f>SUBTOTAL(109,Table8[DEC])</f>
        <v>0</v>
      </c>
      <c r="N124" s="42">
        <f>SUBTOTAL(109,Table8[Total])</f>
        <v>400</v>
      </c>
      <c r="O124" s="42">
        <f>SUBTOTAL(109,Table8[Monthly Avg])</f>
        <v>133.33333333333334</v>
      </c>
      <c r="P124" s="69"/>
      <c r="R124" s="12">
        <f>SUMIFS(Table8[Total], Table8[Category], "Needs")</f>
        <v>0</v>
      </c>
      <c r="S124" s="12">
        <f>SUMIFS(Table8[Total], Table8[Category], "Wants")</f>
        <v>400</v>
      </c>
      <c r="T124" s="12">
        <f>SUMIFS(Table8[Total], Table8[Category], "Savings")</f>
        <v>0</v>
      </c>
    </row>
    <row r="125" spans="1:20" ht="13.5" thickTop="1" x14ac:dyDescent="0.3">
      <c r="A125" s="31"/>
    </row>
    <row r="126" spans="1:20" x14ac:dyDescent="0.3">
      <c r="A126" s="21" t="s">
        <v>102</v>
      </c>
      <c r="B126" s="20" t="s">
        <v>5</v>
      </c>
      <c r="C126" s="20" t="s">
        <v>6</v>
      </c>
      <c r="D126" s="20" t="s">
        <v>7</v>
      </c>
      <c r="E126" s="20" t="s">
        <v>8</v>
      </c>
      <c r="F126" s="20" t="s">
        <v>9</v>
      </c>
      <c r="G126" s="20" t="s">
        <v>10</v>
      </c>
      <c r="H126" s="20" t="s">
        <v>11</v>
      </c>
      <c r="I126" s="20" t="s">
        <v>12</v>
      </c>
      <c r="J126" s="20" t="s">
        <v>13</v>
      </c>
      <c r="K126" s="20" t="s">
        <v>14</v>
      </c>
      <c r="L126" s="20" t="s">
        <v>15</v>
      </c>
      <c r="M126" s="20" t="s">
        <v>16</v>
      </c>
      <c r="N126" s="30" t="s">
        <v>18</v>
      </c>
      <c r="O126" s="39" t="s">
        <v>135</v>
      </c>
      <c r="P126" s="20" t="s">
        <v>189</v>
      </c>
    </row>
    <row r="127" spans="1:20" x14ac:dyDescent="0.3">
      <c r="A127" s="31" t="s">
        <v>103</v>
      </c>
      <c r="B127" s="25">
        <v>1500</v>
      </c>
      <c r="C127" s="25">
        <v>1500</v>
      </c>
      <c r="D127" s="25">
        <v>1300</v>
      </c>
      <c r="E127" s="25">
        <v>1200</v>
      </c>
      <c r="F127" s="25"/>
      <c r="G127" s="25"/>
      <c r="H127" s="25"/>
      <c r="I127" s="25"/>
      <c r="J127" s="25"/>
      <c r="K127" s="25"/>
      <c r="L127" s="25"/>
      <c r="M127" s="25"/>
      <c r="N127" s="40">
        <f t="shared" ref="N127:N128" si="26">SUM(B127:M127)</f>
        <v>5500</v>
      </c>
      <c r="O127" s="40">
        <f>IFERROR(AVERAGEIF(Table9[[#This Row],[JAN]:[DEC]], "&gt;0"), 0)</f>
        <v>1375</v>
      </c>
      <c r="P127" s="72" t="s">
        <v>193</v>
      </c>
    </row>
    <row r="128" spans="1:20" ht="26" x14ac:dyDescent="0.3">
      <c r="A128" s="31" t="s">
        <v>104</v>
      </c>
      <c r="B128" s="25"/>
      <c r="C128" s="25"/>
      <c r="D128" s="25"/>
      <c r="E128" s="25"/>
      <c r="F128" s="25"/>
      <c r="G128" s="25"/>
      <c r="H128" s="25"/>
      <c r="I128" s="25"/>
      <c r="J128" s="25"/>
      <c r="K128" s="25"/>
      <c r="L128" s="25"/>
      <c r="M128" s="25"/>
      <c r="N128" s="40">
        <f t="shared" si="26"/>
        <v>0</v>
      </c>
      <c r="O128" s="40">
        <f>IFERROR(AVERAGEIF(Table9[[#This Row],[JAN]:[DEC]], "&gt;0"), 0)</f>
        <v>0</v>
      </c>
      <c r="P128" s="72" t="s">
        <v>193</v>
      </c>
    </row>
    <row r="129" spans="1:20" x14ac:dyDescent="0.3">
      <c r="A129" s="24" t="s">
        <v>105</v>
      </c>
      <c r="B129" s="25"/>
      <c r="C129" s="25"/>
      <c r="D129" s="25"/>
      <c r="E129" s="25"/>
      <c r="F129" s="25"/>
      <c r="G129" s="25"/>
      <c r="H129" s="25"/>
      <c r="I129" s="25"/>
      <c r="J129" s="25"/>
      <c r="K129" s="25"/>
      <c r="L129" s="25"/>
      <c r="M129" s="25"/>
      <c r="N129" s="41">
        <f t="shared" ref="N129:N132" si="27">SUM(B129:M129)</f>
        <v>0</v>
      </c>
      <c r="O129" s="40">
        <f>IFERROR(AVERAGEIF(Table9[[#This Row],[JAN]:[DEC]], "&gt;0"), 0)</f>
        <v>0</v>
      </c>
      <c r="P129" s="72" t="s">
        <v>193</v>
      </c>
    </row>
    <row r="130" spans="1:20" x14ac:dyDescent="0.3">
      <c r="A130" s="24" t="s">
        <v>106</v>
      </c>
      <c r="B130" s="25"/>
      <c r="C130" s="25"/>
      <c r="D130" s="25"/>
      <c r="E130" s="25"/>
      <c r="F130" s="25"/>
      <c r="G130" s="25"/>
      <c r="H130" s="25"/>
      <c r="I130" s="25"/>
      <c r="J130" s="25"/>
      <c r="K130" s="25"/>
      <c r="L130" s="25"/>
      <c r="M130" s="25"/>
      <c r="N130" s="41">
        <f t="shared" si="27"/>
        <v>0</v>
      </c>
      <c r="O130" s="40">
        <f>IFERROR(AVERAGEIF(Table9[[#This Row],[JAN]:[DEC]], "&gt;0"), 0)</f>
        <v>0</v>
      </c>
      <c r="P130" s="72" t="s">
        <v>193</v>
      </c>
    </row>
    <row r="131" spans="1:20" x14ac:dyDescent="0.3">
      <c r="A131" s="24" t="s">
        <v>107</v>
      </c>
      <c r="B131" s="25"/>
      <c r="C131" s="25"/>
      <c r="D131" s="25"/>
      <c r="E131" s="25"/>
      <c r="F131" s="25"/>
      <c r="G131" s="25"/>
      <c r="H131" s="25"/>
      <c r="I131" s="25"/>
      <c r="J131" s="25"/>
      <c r="K131" s="25"/>
      <c r="L131" s="25"/>
      <c r="M131" s="25"/>
      <c r="N131" s="41">
        <f t="shared" si="27"/>
        <v>0</v>
      </c>
      <c r="O131" s="40">
        <f>IFERROR(AVERAGEIF(Table9[[#This Row],[JAN]:[DEC]], "&gt;0"), 0)</f>
        <v>0</v>
      </c>
      <c r="P131" s="72" t="s">
        <v>193</v>
      </c>
    </row>
    <row r="132" spans="1:20" x14ac:dyDescent="0.3">
      <c r="A132" s="24" t="s">
        <v>108</v>
      </c>
      <c r="B132" s="25"/>
      <c r="C132" s="25"/>
      <c r="D132" s="25"/>
      <c r="E132" s="25"/>
      <c r="F132" s="25"/>
      <c r="G132" s="25"/>
      <c r="H132" s="25"/>
      <c r="I132" s="25"/>
      <c r="J132" s="25"/>
      <c r="K132" s="25"/>
      <c r="L132" s="25"/>
      <c r="M132" s="25"/>
      <c r="N132" s="41">
        <f t="shared" si="27"/>
        <v>0</v>
      </c>
      <c r="O132" s="40">
        <f>IFERROR(AVERAGEIF(Table9[[#This Row],[JAN]:[DEC]], "&gt;0"), 0)</f>
        <v>0</v>
      </c>
      <c r="P132" s="72" t="s">
        <v>193</v>
      </c>
    </row>
    <row r="133" spans="1:20" x14ac:dyDescent="0.3">
      <c r="A133" s="31" t="s">
        <v>109</v>
      </c>
      <c r="B133" s="25"/>
      <c r="C133" s="25"/>
      <c r="D133" s="25"/>
      <c r="E133" s="25"/>
      <c r="F133" s="25"/>
      <c r="G133" s="25"/>
      <c r="H133" s="25"/>
      <c r="I133" s="25"/>
      <c r="J133" s="25"/>
      <c r="K133" s="25"/>
      <c r="L133" s="25"/>
      <c r="M133" s="25"/>
      <c r="N133" s="40">
        <f t="shared" ref="N133" si="28">SUM(B133:M133)</f>
        <v>0</v>
      </c>
      <c r="O133" s="40">
        <f>IFERROR(AVERAGEIF(Table9[[#This Row],[JAN]:[DEC]], "&gt;0"), 0)</f>
        <v>0</v>
      </c>
      <c r="P133" s="72" t="s">
        <v>193</v>
      </c>
    </row>
    <row r="134" spans="1:20" ht="13.5" thickBot="1" x14ac:dyDescent="0.35">
      <c r="A134" s="29" t="s">
        <v>142</v>
      </c>
      <c r="B134" s="42">
        <f>SUBTOTAL(109,Table9[JAN])</f>
        <v>1500</v>
      </c>
      <c r="C134" s="42">
        <f>SUBTOTAL(109,Table9[FEB])</f>
        <v>1500</v>
      </c>
      <c r="D134" s="42">
        <f>SUBTOTAL(109,Table9[MAR])</f>
        <v>1300</v>
      </c>
      <c r="E134" s="42">
        <f>SUBTOTAL(109,Table9[APR])</f>
        <v>1200</v>
      </c>
      <c r="F134" s="42">
        <f>SUBTOTAL(109,Table9[MAY])</f>
        <v>0</v>
      </c>
      <c r="G134" s="42">
        <f>SUBTOTAL(109,Table9[JUN])</f>
        <v>0</v>
      </c>
      <c r="H134" s="42">
        <f>SUBTOTAL(109,Table9[JUL])</f>
        <v>0</v>
      </c>
      <c r="I134" s="42">
        <f>SUBTOTAL(109,Table9[AUG])</f>
        <v>0</v>
      </c>
      <c r="J134" s="42">
        <f>SUBTOTAL(109,Table9[SEP])</f>
        <v>0</v>
      </c>
      <c r="K134" s="42">
        <f>SUBTOTAL(109,Table9[OCT])</f>
        <v>0</v>
      </c>
      <c r="L134" s="42">
        <f>SUBTOTAL(109,Table9[NOV])</f>
        <v>0</v>
      </c>
      <c r="M134" s="42">
        <f>SUBTOTAL(109,Table9[DEC])</f>
        <v>0</v>
      </c>
      <c r="N134" s="42">
        <f>SUBTOTAL(109,Table9[Total])</f>
        <v>5500</v>
      </c>
      <c r="O134" s="42">
        <f>SUBTOTAL(109,Table9[Monthly Avg])</f>
        <v>1375</v>
      </c>
      <c r="P134" s="69"/>
      <c r="R134" s="12">
        <f>SUMIFS(Table9[Total], Table9[Category], "Needs")</f>
        <v>0</v>
      </c>
      <c r="S134" s="12">
        <f>SUMIFS(Table9[Total], Table9[Category], "Wants")</f>
        <v>0</v>
      </c>
      <c r="T134" s="12">
        <f>SUMIFS(Table9[Total], Table9[Category], "Savings")</f>
        <v>5500</v>
      </c>
    </row>
    <row r="135" spans="1:20" ht="13.5" thickTop="1" x14ac:dyDescent="0.3">
      <c r="A135" s="31"/>
    </row>
    <row r="136" spans="1:20" x14ac:dyDescent="0.3">
      <c r="A136" s="21" t="s">
        <v>110</v>
      </c>
      <c r="B136" s="20" t="s">
        <v>5</v>
      </c>
      <c r="C136" s="20" t="s">
        <v>6</v>
      </c>
      <c r="D136" s="20" t="s">
        <v>7</v>
      </c>
      <c r="E136" s="20" t="s">
        <v>8</v>
      </c>
      <c r="F136" s="20" t="s">
        <v>9</v>
      </c>
      <c r="G136" s="20" t="s">
        <v>10</v>
      </c>
      <c r="H136" s="20" t="s">
        <v>11</v>
      </c>
      <c r="I136" s="20" t="s">
        <v>12</v>
      </c>
      <c r="J136" s="20" t="s">
        <v>13</v>
      </c>
      <c r="K136" s="20" t="s">
        <v>14</v>
      </c>
      <c r="L136" s="20" t="s">
        <v>15</v>
      </c>
      <c r="M136" s="20" t="s">
        <v>16</v>
      </c>
      <c r="N136" s="30" t="s">
        <v>18</v>
      </c>
      <c r="O136" s="39" t="s">
        <v>135</v>
      </c>
      <c r="P136" s="20" t="s">
        <v>189</v>
      </c>
    </row>
    <row r="137" spans="1:20" x14ac:dyDescent="0.3">
      <c r="A137" s="31" t="s">
        <v>111</v>
      </c>
      <c r="B137" s="25"/>
      <c r="C137" s="25"/>
      <c r="D137" s="25"/>
      <c r="E137" s="25"/>
      <c r="F137" s="25"/>
      <c r="G137" s="25"/>
      <c r="H137" s="25"/>
      <c r="I137" s="25"/>
      <c r="J137" s="25"/>
      <c r="K137" s="25"/>
      <c r="L137" s="25"/>
      <c r="M137" s="25"/>
      <c r="N137" s="40">
        <f t="shared" ref="N137:N138" si="29">SUM(B137:M137)</f>
        <v>0</v>
      </c>
      <c r="O137" s="40">
        <f>IFERROR(AVERAGEIF(Table10[[#This Row],[JAN]:[DEC]], "&gt;0"), 0)</f>
        <v>0</v>
      </c>
      <c r="P137" s="72" t="s">
        <v>191</v>
      </c>
    </row>
    <row r="138" spans="1:20" x14ac:dyDescent="0.3">
      <c r="A138" s="31" t="s">
        <v>112</v>
      </c>
      <c r="B138" s="25">
        <v>2000</v>
      </c>
      <c r="C138" s="25">
        <v>3000</v>
      </c>
      <c r="D138" s="25">
        <v>2500</v>
      </c>
      <c r="E138" s="25">
        <v>2000</v>
      </c>
      <c r="F138" s="25"/>
      <c r="G138" s="25"/>
      <c r="H138" s="25"/>
      <c r="I138" s="25"/>
      <c r="J138" s="25"/>
      <c r="K138" s="25"/>
      <c r="L138" s="25"/>
      <c r="M138" s="25"/>
      <c r="N138" s="40">
        <f t="shared" si="29"/>
        <v>9500</v>
      </c>
      <c r="O138" s="40">
        <f>IFERROR(AVERAGEIF(Table10[[#This Row],[JAN]:[DEC]], "&gt;0"), 0)</f>
        <v>2375</v>
      </c>
      <c r="P138" s="25" t="s">
        <v>191</v>
      </c>
    </row>
    <row r="139" spans="1:20" x14ac:dyDescent="0.3">
      <c r="A139" s="31" t="s">
        <v>113</v>
      </c>
      <c r="B139" s="25"/>
      <c r="C139" s="25"/>
      <c r="D139" s="25"/>
      <c r="E139" s="25"/>
      <c r="F139" s="25"/>
      <c r="G139" s="25"/>
      <c r="H139" s="25"/>
      <c r="I139" s="25"/>
      <c r="J139" s="25"/>
      <c r="K139" s="25"/>
      <c r="L139" s="25"/>
      <c r="M139" s="25"/>
      <c r="N139" s="41">
        <f t="shared" ref="N139:N143" si="30">SUM(B139:M139)</f>
        <v>0</v>
      </c>
      <c r="O139" s="40">
        <f>IFERROR(AVERAGEIF(Table10[[#This Row],[JAN]:[DEC]], "&gt;0"), 0)</f>
        <v>0</v>
      </c>
      <c r="P139" s="25" t="s">
        <v>191</v>
      </c>
    </row>
    <row r="140" spans="1:20" x14ac:dyDescent="0.3">
      <c r="A140" s="31" t="s">
        <v>114</v>
      </c>
      <c r="B140" s="25"/>
      <c r="C140" s="25"/>
      <c r="D140" s="25"/>
      <c r="E140" s="25"/>
      <c r="F140" s="25"/>
      <c r="G140" s="25"/>
      <c r="H140" s="25"/>
      <c r="I140" s="25"/>
      <c r="J140" s="25"/>
      <c r="K140" s="25"/>
      <c r="L140" s="25"/>
      <c r="M140" s="25"/>
      <c r="N140" s="41">
        <f t="shared" si="30"/>
        <v>0</v>
      </c>
      <c r="O140" s="40">
        <f>IFERROR(AVERAGEIF(Table10[[#This Row],[JAN]:[DEC]], "&gt;0"), 0)</f>
        <v>0</v>
      </c>
      <c r="P140" s="25" t="s">
        <v>193</v>
      </c>
    </row>
    <row r="141" spans="1:20" x14ac:dyDescent="0.3">
      <c r="A141" s="24" t="s">
        <v>150</v>
      </c>
      <c r="B141" s="25"/>
      <c r="C141" s="25"/>
      <c r="D141" s="25"/>
      <c r="E141" s="25"/>
      <c r="F141" s="25"/>
      <c r="G141" s="25"/>
      <c r="H141" s="25"/>
      <c r="I141" s="25"/>
      <c r="J141" s="25"/>
      <c r="K141" s="25"/>
      <c r="L141" s="25"/>
      <c r="M141" s="25"/>
      <c r="N141" s="41">
        <f t="shared" si="30"/>
        <v>0</v>
      </c>
      <c r="O141" s="40">
        <f>IFERROR(AVERAGEIF(Table10[[#This Row],[JAN]:[DEC]], "&gt;0"), 0)</f>
        <v>0</v>
      </c>
      <c r="P141" s="25" t="s">
        <v>191</v>
      </c>
    </row>
    <row r="142" spans="1:20" ht="26" x14ac:dyDescent="0.3">
      <c r="A142" s="31" t="s">
        <v>115</v>
      </c>
      <c r="B142" s="25"/>
      <c r="C142" s="25"/>
      <c r="D142" s="25"/>
      <c r="E142" s="25"/>
      <c r="F142" s="25"/>
      <c r="G142" s="25"/>
      <c r="H142" s="25"/>
      <c r="I142" s="25"/>
      <c r="J142" s="25"/>
      <c r="K142" s="25"/>
      <c r="L142" s="25"/>
      <c r="M142" s="25"/>
      <c r="N142" s="41">
        <f t="shared" si="30"/>
        <v>0</v>
      </c>
      <c r="O142" s="40">
        <f>IFERROR(AVERAGEIF(Table10[[#This Row],[JAN]:[DEC]], "&gt;0"), 0)</f>
        <v>0</v>
      </c>
      <c r="P142" s="25" t="s">
        <v>193</v>
      </c>
    </row>
    <row r="143" spans="1:20" x14ac:dyDescent="0.3">
      <c r="A143" s="31" t="s">
        <v>116</v>
      </c>
      <c r="B143" s="25"/>
      <c r="C143" s="25"/>
      <c r="D143" s="25"/>
      <c r="E143" s="25"/>
      <c r="F143" s="25"/>
      <c r="G143" s="25"/>
      <c r="H143" s="25"/>
      <c r="I143" s="25"/>
      <c r="J143" s="25"/>
      <c r="K143" s="25"/>
      <c r="L143" s="25"/>
      <c r="M143" s="25"/>
      <c r="N143" s="41">
        <f t="shared" si="30"/>
        <v>0</v>
      </c>
      <c r="O143" s="40">
        <f>IFERROR(AVERAGEIF(Table10[[#This Row],[JAN]:[DEC]], "&gt;0"), 0)</f>
        <v>0</v>
      </c>
      <c r="P143" s="73" t="s">
        <v>193</v>
      </c>
    </row>
    <row r="144" spans="1:20" ht="13.5" thickBot="1" x14ac:dyDescent="0.35">
      <c r="A144" s="29" t="s">
        <v>143</v>
      </c>
      <c r="B144" s="42">
        <f>SUBTOTAL(109,Table10[JAN])</f>
        <v>2000</v>
      </c>
      <c r="C144" s="42">
        <f>SUBTOTAL(109,Table10[FEB])</f>
        <v>3000</v>
      </c>
      <c r="D144" s="42">
        <f>SUBTOTAL(109,Table10[MAR])</f>
        <v>2500</v>
      </c>
      <c r="E144" s="42">
        <f>SUBTOTAL(109,Table10[APR])</f>
        <v>2000</v>
      </c>
      <c r="F144" s="42">
        <f>SUBTOTAL(109,Table10[MAY])</f>
        <v>0</v>
      </c>
      <c r="G144" s="42">
        <f>SUBTOTAL(109,Table10[JUN])</f>
        <v>0</v>
      </c>
      <c r="H144" s="42">
        <f>SUBTOTAL(109,Table10[JUL])</f>
        <v>0</v>
      </c>
      <c r="I144" s="42">
        <f>SUBTOTAL(109,Table10[AUG])</f>
        <v>0</v>
      </c>
      <c r="J144" s="42">
        <f>SUBTOTAL(109,Table10[SEP])</f>
        <v>0</v>
      </c>
      <c r="K144" s="42">
        <f>SUBTOTAL(109,Table10[OCT])</f>
        <v>0</v>
      </c>
      <c r="L144" s="42">
        <f>SUBTOTAL(109,Table10[NOV])</f>
        <v>0</v>
      </c>
      <c r="M144" s="42">
        <f>SUBTOTAL(109,Table10[DEC])</f>
        <v>0</v>
      </c>
      <c r="N144" s="42">
        <f>SUBTOTAL(109,Table10[Total])</f>
        <v>9500</v>
      </c>
      <c r="O144" s="42">
        <f>SUBTOTAL(109,Table10[Monthly Avg])</f>
        <v>2375</v>
      </c>
      <c r="P144" s="69"/>
      <c r="R144" s="12">
        <f>SUMIFS(Table10[Total], Table10[Category], "Needs")</f>
        <v>9500</v>
      </c>
      <c r="S144" s="12">
        <f>SUMIFS(Table10[Total], Table10[Category], "Wants")</f>
        <v>0</v>
      </c>
      <c r="T144" s="12">
        <f>SUMIFS(Table10[Total], Table10[Category], "Savings")</f>
        <v>0</v>
      </c>
    </row>
    <row r="145" spans="1:20" ht="13.5" thickTop="1" x14ac:dyDescent="0.3">
      <c r="A145" s="31"/>
    </row>
    <row r="146" spans="1:20" x14ac:dyDescent="0.3">
      <c r="A146" s="21" t="s">
        <v>117</v>
      </c>
      <c r="B146" s="20" t="s">
        <v>5</v>
      </c>
      <c r="C146" s="20" t="s">
        <v>6</v>
      </c>
      <c r="D146" s="20" t="s">
        <v>7</v>
      </c>
      <c r="E146" s="20" t="s">
        <v>8</v>
      </c>
      <c r="F146" s="20" t="s">
        <v>9</v>
      </c>
      <c r="G146" s="20" t="s">
        <v>10</v>
      </c>
      <c r="H146" s="20" t="s">
        <v>11</v>
      </c>
      <c r="I146" s="20" t="s">
        <v>12</v>
      </c>
      <c r="J146" s="20" t="s">
        <v>13</v>
      </c>
      <c r="K146" s="20" t="s">
        <v>14</v>
      </c>
      <c r="L146" s="20" t="s">
        <v>15</v>
      </c>
      <c r="M146" s="20" t="s">
        <v>16</v>
      </c>
      <c r="N146" s="30" t="s">
        <v>18</v>
      </c>
      <c r="O146" s="39" t="s">
        <v>135</v>
      </c>
      <c r="P146" s="20" t="s">
        <v>189</v>
      </c>
    </row>
    <row r="147" spans="1:20" x14ac:dyDescent="0.3">
      <c r="A147" s="31" t="s">
        <v>118</v>
      </c>
      <c r="B147" s="25"/>
      <c r="C147" s="25"/>
      <c r="D147" s="25"/>
      <c r="E147" s="25"/>
      <c r="F147" s="25"/>
      <c r="G147" s="25"/>
      <c r="H147" s="25"/>
      <c r="I147" s="25"/>
      <c r="J147" s="25"/>
      <c r="K147" s="25"/>
      <c r="L147" s="25"/>
      <c r="M147" s="25"/>
      <c r="N147" s="40">
        <f t="shared" ref="N147:N148" si="31">SUM(B147:M147)</f>
        <v>0</v>
      </c>
      <c r="O147" s="40">
        <f>IFERROR(AVERAGEIF(Table11[[#This Row],[JAN]:[DEC]], "&gt;0"), 0)</f>
        <v>0</v>
      </c>
      <c r="P147" s="72" t="s">
        <v>191</v>
      </c>
    </row>
    <row r="148" spans="1:20" x14ac:dyDescent="0.3">
      <c r="A148" s="31" t="s">
        <v>119</v>
      </c>
      <c r="B148" s="25">
        <v>600</v>
      </c>
      <c r="C148" s="25"/>
      <c r="D148" s="25"/>
      <c r="E148" s="25">
        <v>800</v>
      </c>
      <c r="F148" s="25"/>
      <c r="G148" s="25">
        <v>1500</v>
      </c>
      <c r="H148" s="25"/>
      <c r="I148" s="25"/>
      <c r="J148" s="25"/>
      <c r="K148" s="25"/>
      <c r="L148" s="25"/>
      <c r="M148" s="25"/>
      <c r="N148" s="40">
        <f t="shared" si="31"/>
        <v>2900</v>
      </c>
      <c r="O148" s="40">
        <f>IFERROR(AVERAGEIF(Table11[[#This Row],[JAN]:[DEC]], "&gt;0"), 0)</f>
        <v>966.66666666666663</v>
      </c>
      <c r="P148" s="72" t="s">
        <v>191</v>
      </c>
    </row>
    <row r="149" spans="1:20" x14ac:dyDescent="0.3">
      <c r="A149" s="24" t="s">
        <v>120</v>
      </c>
      <c r="B149" s="25"/>
      <c r="C149" s="25"/>
      <c r="D149" s="25"/>
      <c r="E149" s="25"/>
      <c r="F149" s="25"/>
      <c r="G149" s="25"/>
      <c r="H149" s="25"/>
      <c r="I149" s="25"/>
      <c r="J149" s="25"/>
      <c r="K149" s="25"/>
      <c r="L149" s="25"/>
      <c r="M149" s="25"/>
      <c r="N149" s="41">
        <f t="shared" ref="N149:N152" si="32">SUM(B149:M149)</f>
        <v>0</v>
      </c>
      <c r="O149" s="40">
        <f>IFERROR(AVERAGEIF(Table11[[#This Row],[JAN]:[DEC]], "&gt;0"), 0)</f>
        <v>0</v>
      </c>
      <c r="P149" s="72" t="s">
        <v>191</v>
      </c>
    </row>
    <row r="150" spans="1:20" x14ac:dyDescent="0.3">
      <c r="A150" s="24" t="s">
        <v>121</v>
      </c>
      <c r="B150" s="25"/>
      <c r="C150" s="25"/>
      <c r="D150" s="25"/>
      <c r="E150" s="25"/>
      <c r="F150" s="25"/>
      <c r="G150" s="25"/>
      <c r="H150" s="25"/>
      <c r="I150" s="25"/>
      <c r="J150" s="25"/>
      <c r="K150" s="25"/>
      <c r="L150" s="25"/>
      <c r="M150" s="25"/>
      <c r="N150" s="41">
        <f t="shared" si="32"/>
        <v>0</v>
      </c>
      <c r="O150" s="40">
        <f>IFERROR(AVERAGEIF(Table11[[#This Row],[JAN]:[DEC]], "&gt;0"), 0)</f>
        <v>0</v>
      </c>
      <c r="P150" s="72" t="s">
        <v>191</v>
      </c>
    </row>
    <row r="151" spans="1:20" x14ac:dyDescent="0.3">
      <c r="A151" s="24" t="s">
        <v>36</v>
      </c>
      <c r="B151" s="25"/>
      <c r="C151" s="25"/>
      <c r="D151" s="25"/>
      <c r="E151" s="25"/>
      <c r="F151" s="25"/>
      <c r="G151" s="25"/>
      <c r="H151" s="25"/>
      <c r="I151" s="25"/>
      <c r="J151" s="25"/>
      <c r="K151" s="25"/>
      <c r="L151" s="25"/>
      <c r="M151" s="25"/>
      <c r="N151" s="41">
        <f t="shared" si="32"/>
        <v>0</v>
      </c>
      <c r="O151" s="40">
        <f>IFERROR(AVERAGEIF(Table11[[#This Row],[JAN]:[DEC]], "&gt;0"), 0)</f>
        <v>0</v>
      </c>
      <c r="P151" s="72" t="s">
        <v>191</v>
      </c>
    </row>
    <row r="152" spans="1:20" x14ac:dyDescent="0.3">
      <c r="A152" s="24" t="s">
        <v>122</v>
      </c>
      <c r="B152" s="25"/>
      <c r="C152" s="25"/>
      <c r="D152" s="25"/>
      <c r="E152" s="25"/>
      <c r="F152" s="25"/>
      <c r="G152" s="25"/>
      <c r="H152" s="25"/>
      <c r="I152" s="25"/>
      <c r="J152" s="25"/>
      <c r="K152" s="25"/>
      <c r="L152" s="25"/>
      <c r="M152" s="25"/>
      <c r="N152" s="41">
        <f t="shared" si="32"/>
        <v>0</v>
      </c>
      <c r="O152" s="40">
        <f>IFERROR(AVERAGEIF(Table11[[#This Row],[JAN]:[DEC]], "&gt;0"), 0)</f>
        <v>0</v>
      </c>
      <c r="P152" s="72" t="s">
        <v>191</v>
      </c>
    </row>
    <row r="153" spans="1:20" x14ac:dyDescent="0.3">
      <c r="A153" s="31" t="s">
        <v>123</v>
      </c>
      <c r="B153" s="25"/>
      <c r="C153" s="25"/>
      <c r="D153" s="25"/>
      <c r="E153" s="25"/>
      <c r="F153" s="25"/>
      <c r="G153" s="25"/>
      <c r="H153" s="25"/>
      <c r="I153" s="25"/>
      <c r="J153" s="25"/>
      <c r="K153" s="25"/>
      <c r="L153" s="25"/>
      <c r="M153" s="25"/>
      <c r="N153" s="40">
        <f t="shared" ref="N153" si="33">SUM(B153:M153)</f>
        <v>0</v>
      </c>
      <c r="O153" s="40">
        <f>IFERROR(AVERAGEIF(Table11[[#This Row],[JAN]:[DEC]], "&gt;0"), 0)</f>
        <v>0</v>
      </c>
      <c r="P153" s="72" t="s">
        <v>191</v>
      </c>
    </row>
    <row r="154" spans="1:20" ht="13.5" thickBot="1" x14ac:dyDescent="0.35">
      <c r="A154" s="29" t="s">
        <v>144</v>
      </c>
      <c r="B154" s="42">
        <f>SUBTOTAL(109,Table11[JAN])</f>
        <v>600</v>
      </c>
      <c r="C154" s="42">
        <f>SUBTOTAL(109,Table11[FEB])</f>
        <v>0</v>
      </c>
      <c r="D154" s="42">
        <f>SUBTOTAL(109,Table11[MAR])</f>
        <v>0</v>
      </c>
      <c r="E154" s="42">
        <f>SUBTOTAL(109,Table11[APR])</f>
        <v>800</v>
      </c>
      <c r="F154" s="42">
        <f>SUBTOTAL(109,Table11[MAY])</f>
        <v>0</v>
      </c>
      <c r="G154" s="42">
        <f>SUBTOTAL(109,Table11[JUN])</f>
        <v>1500</v>
      </c>
      <c r="H154" s="42">
        <f>SUBTOTAL(109,Table11[JUL])</f>
        <v>0</v>
      </c>
      <c r="I154" s="42">
        <f>SUBTOTAL(109,Table11[AUG])</f>
        <v>0</v>
      </c>
      <c r="J154" s="42">
        <f>SUBTOTAL(109,Table11[SEP])</f>
        <v>0</v>
      </c>
      <c r="K154" s="42">
        <f>SUBTOTAL(109,Table11[OCT])</f>
        <v>0</v>
      </c>
      <c r="L154" s="42">
        <f>SUBTOTAL(109,Table11[NOV])</f>
        <v>0</v>
      </c>
      <c r="M154" s="42">
        <f>SUBTOTAL(109,Table11[DEC])</f>
        <v>0</v>
      </c>
      <c r="N154" s="42">
        <f>SUBTOTAL(109,Table11[Total])</f>
        <v>2900</v>
      </c>
      <c r="O154" s="42">
        <f>SUBTOTAL(109,Table11[Monthly Avg])</f>
        <v>966.66666666666663</v>
      </c>
      <c r="P154" s="69"/>
      <c r="R154" s="12">
        <f>SUMIFS(Table11[Total], Table11[Category], "Needs")</f>
        <v>2900</v>
      </c>
      <c r="S154" s="12">
        <f>SUMIFS(Table11[Total], Table11[Category], "Wants")</f>
        <v>0</v>
      </c>
      <c r="T154" s="12">
        <f>SUMIFS(Table11[Total], Table11[Category], "Savings")</f>
        <v>0</v>
      </c>
    </row>
    <row r="155" spans="1:20" ht="13.5" thickTop="1" x14ac:dyDescent="0.3">
      <c r="A155" s="31"/>
    </row>
    <row r="156" spans="1:20" x14ac:dyDescent="0.3">
      <c r="A156" s="21" t="s">
        <v>176</v>
      </c>
      <c r="B156" s="20" t="s">
        <v>5</v>
      </c>
      <c r="C156" s="20" t="s">
        <v>6</v>
      </c>
      <c r="D156" s="20" t="s">
        <v>7</v>
      </c>
      <c r="E156" s="20" t="s">
        <v>8</v>
      </c>
      <c r="F156" s="20" t="s">
        <v>9</v>
      </c>
      <c r="G156" s="20" t="s">
        <v>10</v>
      </c>
      <c r="H156" s="20" t="s">
        <v>11</v>
      </c>
      <c r="I156" s="20" t="s">
        <v>12</v>
      </c>
      <c r="J156" s="20" t="s">
        <v>13</v>
      </c>
      <c r="K156" s="20" t="s">
        <v>14</v>
      </c>
      <c r="L156" s="20" t="s">
        <v>15</v>
      </c>
      <c r="M156" s="20" t="s">
        <v>16</v>
      </c>
      <c r="N156" s="30" t="s">
        <v>18</v>
      </c>
      <c r="O156" s="39" t="s">
        <v>135</v>
      </c>
      <c r="P156" s="20" t="s">
        <v>189</v>
      </c>
    </row>
    <row r="157" spans="1:20" x14ac:dyDescent="0.3">
      <c r="A157" s="31" t="s">
        <v>177</v>
      </c>
      <c r="B157" s="25">
        <v>1200</v>
      </c>
      <c r="C157" s="25"/>
      <c r="D157" s="25">
        <v>50</v>
      </c>
      <c r="E157" s="25"/>
      <c r="F157" s="25">
        <v>70</v>
      </c>
      <c r="G157" s="25"/>
      <c r="H157" s="25"/>
      <c r="I157" s="25"/>
      <c r="J157" s="25"/>
      <c r="K157" s="25"/>
      <c r="L157" s="25"/>
      <c r="M157" s="25"/>
      <c r="N157" s="40">
        <f t="shared" ref="N157:N161" si="34">SUM(B157:M157)</f>
        <v>1320</v>
      </c>
      <c r="O157" s="40">
        <f>IFERROR(AVERAGEIF(Table12[[#This Row],[JAN]:[DEC]], "&gt;0"), 0)</f>
        <v>440</v>
      </c>
      <c r="P157" s="72" t="s">
        <v>192</v>
      </c>
    </row>
    <row r="158" spans="1:20" x14ac:dyDescent="0.3">
      <c r="A158" s="31" t="s">
        <v>178</v>
      </c>
      <c r="B158" s="25"/>
      <c r="C158" s="25"/>
      <c r="D158" s="25"/>
      <c r="E158" s="25"/>
      <c r="F158" s="25"/>
      <c r="G158" s="25"/>
      <c r="H158" s="25"/>
      <c r="I158" s="25"/>
      <c r="J158" s="25"/>
      <c r="K158" s="25"/>
      <c r="L158" s="25"/>
      <c r="M158" s="25"/>
      <c r="N158" s="40">
        <f t="shared" si="34"/>
        <v>0</v>
      </c>
      <c r="O158" s="40">
        <f>IFERROR(AVERAGEIF(Table12[[#This Row],[JAN]:[DEC]], "&gt;0"), 0)</f>
        <v>0</v>
      </c>
      <c r="P158" s="25" t="s">
        <v>192</v>
      </c>
    </row>
    <row r="159" spans="1:20" x14ac:dyDescent="0.3">
      <c r="A159" s="24" t="s">
        <v>179</v>
      </c>
      <c r="B159" s="25"/>
      <c r="C159" s="25"/>
      <c r="D159" s="25"/>
      <c r="E159" s="25"/>
      <c r="F159" s="25"/>
      <c r="G159" s="25"/>
      <c r="H159" s="25"/>
      <c r="I159" s="25"/>
      <c r="J159" s="25"/>
      <c r="K159" s="25"/>
      <c r="L159" s="25"/>
      <c r="M159" s="25"/>
      <c r="N159" s="41">
        <f t="shared" si="34"/>
        <v>0</v>
      </c>
      <c r="O159" s="40">
        <f>IFERROR(AVERAGEIF(Table12[[#This Row],[JAN]:[DEC]], "&gt;0"), 0)</f>
        <v>0</v>
      </c>
      <c r="P159" s="25" t="s">
        <v>192</v>
      </c>
    </row>
    <row r="160" spans="1:20" x14ac:dyDescent="0.3">
      <c r="A160" s="24" t="s">
        <v>180</v>
      </c>
      <c r="B160" s="25"/>
      <c r="C160" s="25"/>
      <c r="D160" s="25"/>
      <c r="E160" s="25"/>
      <c r="F160" s="25"/>
      <c r="G160" s="25"/>
      <c r="H160" s="25"/>
      <c r="I160" s="25"/>
      <c r="J160" s="25"/>
      <c r="K160" s="25"/>
      <c r="L160" s="25"/>
      <c r="M160" s="25"/>
      <c r="N160" s="41">
        <f t="shared" si="34"/>
        <v>0</v>
      </c>
      <c r="O160" s="40">
        <f>IFERROR(AVERAGEIF(Table12[[#This Row],[JAN]:[DEC]], "&gt;0"), 0)</f>
        <v>0</v>
      </c>
      <c r="P160" s="25" t="s">
        <v>192</v>
      </c>
    </row>
    <row r="161" spans="1:20" x14ac:dyDescent="0.3">
      <c r="A161" s="24" t="s">
        <v>181</v>
      </c>
      <c r="B161" s="25"/>
      <c r="C161" s="25"/>
      <c r="D161" s="25"/>
      <c r="E161" s="25"/>
      <c r="F161" s="25"/>
      <c r="G161" s="25"/>
      <c r="H161" s="25"/>
      <c r="I161" s="25"/>
      <c r="J161" s="25"/>
      <c r="K161" s="25"/>
      <c r="L161" s="25"/>
      <c r="M161" s="25"/>
      <c r="N161" s="41">
        <f t="shared" si="34"/>
        <v>0</v>
      </c>
      <c r="O161" s="40">
        <f>IFERROR(AVERAGEIF(Table12[[#This Row],[JAN]:[DEC]], "&gt;0"), 0)</f>
        <v>0</v>
      </c>
      <c r="P161" s="73" t="s">
        <v>193</v>
      </c>
    </row>
    <row r="162" spans="1:20" ht="13.5" thickBot="1" x14ac:dyDescent="0.35">
      <c r="A162" s="29" t="s">
        <v>145</v>
      </c>
      <c r="B162" s="42">
        <f>SUBTOTAL(109,Table12[JAN])</f>
        <v>1200</v>
      </c>
      <c r="C162" s="42">
        <f>SUBTOTAL(109,Table12[FEB])</f>
        <v>0</v>
      </c>
      <c r="D162" s="42">
        <f>SUBTOTAL(109,Table12[MAR])</f>
        <v>50</v>
      </c>
      <c r="E162" s="42">
        <f>SUBTOTAL(109,Table12[APR])</f>
        <v>0</v>
      </c>
      <c r="F162" s="42">
        <f>SUBTOTAL(109,Table12[MAY])</f>
        <v>70</v>
      </c>
      <c r="G162" s="42">
        <f>SUBTOTAL(109,Table12[JUN])</f>
        <v>0</v>
      </c>
      <c r="H162" s="42">
        <f>SUBTOTAL(109,Table12[JUL])</f>
        <v>0</v>
      </c>
      <c r="I162" s="42">
        <f>SUBTOTAL(109,Table12[AUG])</f>
        <v>0</v>
      </c>
      <c r="J162" s="42">
        <f>SUBTOTAL(109,Table12[SEP])</f>
        <v>0</v>
      </c>
      <c r="K162" s="42">
        <f>SUBTOTAL(109,Table12[OCT])</f>
        <v>0</v>
      </c>
      <c r="L162" s="42">
        <f>SUBTOTAL(109,Table12[NOV])</f>
        <v>0</v>
      </c>
      <c r="M162" s="42">
        <f>SUBTOTAL(109,Table12[DEC])</f>
        <v>0</v>
      </c>
      <c r="N162" s="42">
        <f>SUBTOTAL(109,Table12[Total])</f>
        <v>1320</v>
      </c>
      <c r="O162" s="42">
        <f>SUBTOTAL(109,Table12[Monthly Avg])</f>
        <v>440</v>
      </c>
      <c r="P162" s="69"/>
      <c r="R162" s="12">
        <f>SUMIFS(Table12[Total], Table12[Category], "Needs")</f>
        <v>0</v>
      </c>
      <c r="S162" s="12">
        <f>SUMIFS(Table12[Total], Table12[Category], "Wants")</f>
        <v>1320</v>
      </c>
      <c r="T162" s="12">
        <f>SUMIFS(Table12[Total], Table12[Category], "Savings")</f>
        <v>0</v>
      </c>
    </row>
    <row r="163" spans="1:20" ht="13.5" thickTop="1" x14ac:dyDescent="0.3">
      <c r="A163" s="31"/>
    </row>
    <row r="164" spans="1:20" x14ac:dyDescent="0.3">
      <c r="A164" s="21" t="s">
        <v>124</v>
      </c>
      <c r="B164" s="20" t="s">
        <v>5</v>
      </c>
      <c r="C164" s="20" t="s">
        <v>6</v>
      </c>
      <c r="D164" s="20" t="s">
        <v>7</v>
      </c>
      <c r="E164" s="20" t="s">
        <v>8</v>
      </c>
      <c r="F164" s="20" t="s">
        <v>9</v>
      </c>
      <c r="G164" s="20" t="s">
        <v>10</v>
      </c>
      <c r="H164" s="20" t="s">
        <v>11</v>
      </c>
      <c r="I164" s="20" t="s">
        <v>12</v>
      </c>
      <c r="J164" s="20" t="s">
        <v>13</v>
      </c>
      <c r="K164" s="20" t="s">
        <v>14</v>
      </c>
      <c r="L164" s="20" t="s">
        <v>15</v>
      </c>
      <c r="M164" s="20" t="s">
        <v>16</v>
      </c>
      <c r="N164" s="30" t="s">
        <v>18</v>
      </c>
      <c r="O164" s="39" t="s">
        <v>135</v>
      </c>
      <c r="P164" s="20" t="s">
        <v>189</v>
      </c>
    </row>
    <row r="165" spans="1:20" x14ac:dyDescent="0.3">
      <c r="A165" s="31" t="s">
        <v>125</v>
      </c>
      <c r="B165" s="25">
        <v>330</v>
      </c>
      <c r="C165" s="25"/>
      <c r="D165" s="25">
        <v>50</v>
      </c>
      <c r="E165" s="25"/>
      <c r="F165" s="25">
        <v>70</v>
      </c>
      <c r="G165" s="25"/>
      <c r="H165" s="25"/>
      <c r="I165" s="25"/>
      <c r="J165" s="25"/>
      <c r="K165" s="25"/>
      <c r="L165" s="25"/>
      <c r="M165" s="25"/>
      <c r="N165" s="40">
        <f t="shared" ref="N165:N166" si="35">SUM(B165:M165)</f>
        <v>450</v>
      </c>
      <c r="O165" s="40">
        <f>IFERROR(AVERAGEIF(Table13[[#This Row],[JAN]:[DEC]], "&gt;0"), 0)</f>
        <v>150</v>
      </c>
      <c r="P165" s="72" t="s">
        <v>192</v>
      </c>
    </row>
    <row r="166" spans="1:20" x14ac:dyDescent="0.3">
      <c r="A166" s="31" t="s">
        <v>126</v>
      </c>
      <c r="B166" s="25"/>
      <c r="C166" s="25"/>
      <c r="D166" s="25"/>
      <c r="E166" s="25"/>
      <c r="F166" s="25"/>
      <c r="G166" s="25"/>
      <c r="H166" s="25"/>
      <c r="I166" s="25"/>
      <c r="J166" s="25"/>
      <c r="K166" s="25"/>
      <c r="L166" s="25"/>
      <c r="M166" s="25"/>
      <c r="N166" s="40">
        <f t="shared" si="35"/>
        <v>0</v>
      </c>
      <c r="O166" s="40">
        <f>IFERROR(AVERAGEIF(Table13[[#This Row],[JAN]:[DEC]], "&gt;0"), 0)</f>
        <v>0</v>
      </c>
      <c r="P166" s="72" t="s">
        <v>192</v>
      </c>
    </row>
    <row r="167" spans="1:20" x14ac:dyDescent="0.3">
      <c r="A167" s="24" t="s">
        <v>127</v>
      </c>
      <c r="B167" s="25"/>
      <c r="C167" s="25"/>
      <c r="D167" s="25"/>
      <c r="E167" s="25"/>
      <c r="F167" s="25"/>
      <c r="G167" s="25"/>
      <c r="H167" s="25"/>
      <c r="I167" s="25"/>
      <c r="J167" s="25"/>
      <c r="K167" s="25"/>
      <c r="L167" s="25"/>
      <c r="M167" s="25"/>
      <c r="N167" s="41">
        <f t="shared" ref="N167:N169" si="36">SUM(B167:M167)</f>
        <v>0</v>
      </c>
      <c r="O167" s="40">
        <f>IFERROR(AVERAGEIF(Table13[[#This Row],[JAN]:[DEC]], "&gt;0"), 0)</f>
        <v>0</v>
      </c>
      <c r="P167" s="72" t="s">
        <v>192</v>
      </c>
    </row>
    <row r="168" spans="1:20" x14ac:dyDescent="0.3">
      <c r="A168" s="24" t="s">
        <v>128</v>
      </c>
      <c r="B168" s="25"/>
      <c r="C168" s="25"/>
      <c r="D168" s="25"/>
      <c r="E168" s="25"/>
      <c r="F168" s="25"/>
      <c r="G168" s="25"/>
      <c r="H168" s="25"/>
      <c r="I168" s="25"/>
      <c r="J168" s="25"/>
      <c r="K168" s="25"/>
      <c r="L168" s="25"/>
      <c r="M168" s="25"/>
      <c r="N168" s="41">
        <f t="shared" si="36"/>
        <v>0</v>
      </c>
      <c r="O168" s="40">
        <f>IFERROR(AVERAGEIF(Table13[[#This Row],[JAN]:[DEC]], "&gt;0"), 0)</f>
        <v>0</v>
      </c>
      <c r="P168" s="72" t="s">
        <v>192</v>
      </c>
    </row>
    <row r="169" spans="1:20" x14ac:dyDescent="0.3">
      <c r="A169" s="24" t="s">
        <v>129</v>
      </c>
      <c r="B169" s="25"/>
      <c r="C169" s="25"/>
      <c r="D169" s="25"/>
      <c r="E169" s="25"/>
      <c r="F169" s="25"/>
      <c r="G169" s="25"/>
      <c r="H169" s="25"/>
      <c r="I169" s="25"/>
      <c r="J169" s="25"/>
      <c r="K169" s="25"/>
      <c r="L169" s="25"/>
      <c r="M169" s="25"/>
      <c r="N169" s="41">
        <f t="shared" si="36"/>
        <v>0</v>
      </c>
      <c r="O169" s="40">
        <f>IFERROR(AVERAGEIF(Table13[[#This Row],[JAN]:[DEC]], "&gt;0"), 0)</f>
        <v>0</v>
      </c>
      <c r="P169" s="72" t="s">
        <v>192</v>
      </c>
    </row>
    <row r="170" spans="1:20" ht="13.5" thickBot="1" x14ac:dyDescent="0.35">
      <c r="A170" s="29" t="s">
        <v>145</v>
      </c>
      <c r="B170" s="42">
        <f>SUBTOTAL(109,Table13[JAN])</f>
        <v>330</v>
      </c>
      <c r="C170" s="42">
        <f>SUBTOTAL(109,Table13[FEB])</f>
        <v>0</v>
      </c>
      <c r="D170" s="42">
        <f>SUBTOTAL(109,Table13[MAR])</f>
        <v>50</v>
      </c>
      <c r="E170" s="42">
        <f>SUBTOTAL(109,Table13[APR])</f>
        <v>0</v>
      </c>
      <c r="F170" s="42">
        <f>SUBTOTAL(109,Table13[MAY])</f>
        <v>70</v>
      </c>
      <c r="G170" s="42">
        <f>SUBTOTAL(109,Table13[JUN])</f>
        <v>0</v>
      </c>
      <c r="H170" s="42">
        <f>SUBTOTAL(109,Table13[JUL])</f>
        <v>0</v>
      </c>
      <c r="I170" s="42">
        <f>SUBTOTAL(109,Table13[AUG])</f>
        <v>0</v>
      </c>
      <c r="J170" s="42">
        <f>SUBTOTAL(109,Table13[SEP])</f>
        <v>0</v>
      </c>
      <c r="K170" s="42">
        <f>SUBTOTAL(109,Table13[OCT])</f>
        <v>0</v>
      </c>
      <c r="L170" s="42">
        <f>SUBTOTAL(109,Table13[NOV])</f>
        <v>0</v>
      </c>
      <c r="M170" s="42">
        <f>SUBTOTAL(109,Table13[DEC])</f>
        <v>0</v>
      </c>
      <c r="N170" s="42">
        <f>SUBTOTAL(109,Table13[Total])</f>
        <v>450</v>
      </c>
      <c r="O170" s="42">
        <f>SUBTOTAL(109,Table13[Monthly Avg])</f>
        <v>150</v>
      </c>
      <c r="P170" s="69"/>
      <c r="R170" s="12">
        <f>SUMIFS(Table13[Total], Table13[Category], "Needs")</f>
        <v>0</v>
      </c>
      <c r="S170" s="12">
        <f>SUMIFS(Table13[Total], Table13[Category], "Wants")</f>
        <v>450</v>
      </c>
      <c r="T170" s="12">
        <f>SUMIFS(Table13[Total], Table13[Category], "Savings")</f>
        <v>0</v>
      </c>
    </row>
    <row r="171" spans="1:20" ht="13.5" thickTop="1" x14ac:dyDescent="0.3">
      <c r="A171" s="31"/>
    </row>
    <row r="172" spans="1:20" x14ac:dyDescent="0.3">
      <c r="A172" s="21" t="s">
        <v>130</v>
      </c>
      <c r="B172" s="20" t="s">
        <v>5</v>
      </c>
      <c r="C172" s="20" t="s">
        <v>6</v>
      </c>
      <c r="D172" s="20" t="s">
        <v>7</v>
      </c>
      <c r="E172" s="20" t="s">
        <v>8</v>
      </c>
      <c r="F172" s="20" t="s">
        <v>9</v>
      </c>
      <c r="G172" s="20" t="s">
        <v>10</v>
      </c>
      <c r="H172" s="20" t="s">
        <v>11</v>
      </c>
      <c r="I172" s="20" t="s">
        <v>12</v>
      </c>
      <c r="J172" s="20" t="s">
        <v>13</v>
      </c>
      <c r="K172" s="20" t="s">
        <v>14</v>
      </c>
      <c r="L172" s="20" t="s">
        <v>15</v>
      </c>
      <c r="M172" s="20" t="s">
        <v>16</v>
      </c>
      <c r="N172" s="30" t="s">
        <v>18</v>
      </c>
      <c r="O172" s="39" t="s">
        <v>135</v>
      </c>
      <c r="P172" s="20" t="s">
        <v>189</v>
      </c>
    </row>
    <row r="173" spans="1:20" x14ac:dyDescent="0.3">
      <c r="A173" s="31" t="s">
        <v>131</v>
      </c>
      <c r="B173" s="25">
        <v>100</v>
      </c>
      <c r="C173" s="25">
        <v>100</v>
      </c>
      <c r="D173" s="25"/>
      <c r="E173" s="25"/>
      <c r="F173" s="25">
        <v>200</v>
      </c>
      <c r="G173" s="25"/>
      <c r="H173" s="25">
        <v>300</v>
      </c>
      <c r="I173" s="25"/>
      <c r="J173" s="25"/>
      <c r="K173" s="25"/>
      <c r="L173" s="25"/>
      <c r="M173" s="25"/>
      <c r="N173" s="40">
        <f t="shared" ref="N173:N174" si="37">SUM(B173:M173)</f>
        <v>700</v>
      </c>
      <c r="O173" s="40">
        <f>IFERROR(AVERAGEIF(Table14[[#This Row],[JAN]:[DEC]], "&gt;0"), 0)</f>
        <v>175</v>
      </c>
      <c r="P173" s="72" t="s">
        <v>191</v>
      </c>
    </row>
    <row r="174" spans="1:20" x14ac:dyDescent="0.3">
      <c r="A174" s="31" t="s">
        <v>132</v>
      </c>
      <c r="B174" s="25"/>
      <c r="C174" s="25"/>
      <c r="D174" s="25"/>
      <c r="E174" s="25"/>
      <c r="F174" s="25"/>
      <c r="G174" s="25"/>
      <c r="H174" s="25"/>
      <c r="I174" s="25"/>
      <c r="J174" s="25"/>
      <c r="K174" s="25"/>
      <c r="L174" s="25"/>
      <c r="M174" s="25"/>
      <c r="N174" s="40">
        <f t="shared" si="37"/>
        <v>0</v>
      </c>
      <c r="O174" s="40">
        <f>IFERROR(AVERAGEIF(Table14[[#This Row],[JAN]:[DEC]], "&gt;0"), 0)</f>
        <v>0</v>
      </c>
      <c r="P174" s="25" t="s">
        <v>192</v>
      </c>
    </row>
    <row r="175" spans="1:20" x14ac:dyDescent="0.3">
      <c r="A175" s="24" t="s">
        <v>133</v>
      </c>
      <c r="B175" s="25"/>
      <c r="C175" s="25"/>
      <c r="D175" s="25"/>
      <c r="E175" s="25"/>
      <c r="F175" s="25"/>
      <c r="G175" s="25"/>
      <c r="H175" s="25"/>
      <c r="I175" s="25"/>
      <c r="J175" s="25"/>
      <c r="K175" s="25"/>
      <c r="L175" s="25"/>
      <c r="M175" s="25"/>
      <c r="N175" s="41">
        <f t="shared" ref="N175" si="38">SUM(B175:M175)</f>
        <v>0</v>
      </c>
      <c r="O175" s="40">
        <f>IFERROR(AVERAGEIF(Table14[[#This Row],[JAN]:[DEC]], "&gt;0"), 0)</f>
        <v>0</v>
      </c>
      <c r="P175" s="73" t="s">
        <v>192</v>
      </c>
    </row>
    <row r="176" spans="1:20" ht="13.5" thickBot="1" x14ac:dyDescent="0.35">
      <c r="A176" s="29" t="s">
        <v>146</v>
      </c>
      <c r="B176" s="42">
        <f>SUBTOTAL(109,Table14[JAN])</f>
        <v>100</v>
      </c>
      <c r="C176" s="42">
        <f>SUBTOTAL(109,Table14[FEB])</f>
        <v>100</v>
      </c>
      <c r="D176" s="42">
        <f>SUBTOTAL(109,Table14[MAR])</f>
        <v>0</v>
      </c>
      <c r="E176" s="42">
        <f>SUBTOTAL(109,Table14[APR])</f>
        <v>0</v>
      </c>
      <c r="F176" s="42">
        <f>SUBTOTAL(109,Table14[MAY])</f>
        <v>200</v>
      </c>
      <c r="G176" s="42">
        <f>SUBTOTAL(109,Table14[JUN])</f>
        <v>0</v>
      </c>
      <c r="H176" s="42">
        <f>SUBTOTAL(109,Table14[JUL])</f>
        <v>300</v>
      </c>
      <c r="I176" s="42">
        <f>SUBTOTAL(109,Table14[AUG])</f>
        <v>0</v>
      </c>
      <c r="J176" s="42">
        <f>SUBTOTAL(109,Table14[SEP])</f>
        <v>0</v>
      </c>
      <c r="K176" s="42">
        <f>SUBTOTAL(109,Table14[OCT])</f>
        <v>0</v>
      </c>
      <c r="L176" s="42">
        <f>SUBTOTAL(109,Table14[NOV])</f>
        <v>0</v>
      </c>
      <c r="M176" s="42">
        <f>SUBTOTAL(109,Table14[DEC])</f>
        <v>0</v>
      </c>
      <c r="N176" s="42">
        <f>SUBTOTAL(109,Table14[Total])</f>
        <v>700</v>
      </c>
      <c r="O176" s="42">
        <f>SUBTOTAL(109,Table14[Monthly Avg])</f>
        <v>175</v>
      </c>
      <c r="P176" s="69"/>
      <c r="R176" s="12">
        <f>SUMIFS(Table14[Total], Table14[Category], "Needs")</f>
        <v>700</v>
      </c>
      <c r="S176" s="12">
        <f>SUMIFS(Table14[Total], Table14[Category], "Wants")</f>
        <v>0</v>
      </c>
      <c r="T176" s="12">
        <f>SUMIFS(Table14[Total], Table14[Category], "Savings")</f>
        <v>0</v>
      </c>
    </row>
    <row r="177" spans="1:20" ht="13.5" thickTop="1" x14ac:dyDescent="0.3">
      <c r="A177" s="31"/>
    </row>
    <row r="178" spans="1:20" x14ac:dyDescent="0.3">
      <c r="R178" s="75">
        <f>R176+R170+R162+R154+R144+R134+R124+R111+R99+R85+R77+R65+R54</f>
        <v>19000</v>
      </c>
      <c r="S178" s="75">
        <f t="shared" ref="S178:T178" si="39">S176+S170+S162+S154+S144+S134+S124+S111+S99+S85+S77+S65+S54</f>
        <v>4220</v>
      </c>
      <c r="T178" s="75">
        <f t="shared" si="39"/>
        <v>5500</v>
      </c>
    </row>
  </sheetData>
  <phoneticPr fontId="14" type="noConversion"/>
  <dataValidations disablePrompts="1" count="1">
    <dataValidation type="list" allowBlank="1" showInputMessage="1" showErrorMessage="1" sqref="P173:P175 P40:P53 P57:P64 P68:P76 P80:P84 P88:P98 P102:P110 P115:P123 P137:P143 P127:P133 P157:P161 P147:P153 P165:P169" xr:uid="{AA7CB52E-192B-4925-A191-184532972EF9}">
      <formula1>$R$26:$R$28</formula1>
    </dataValidation>
  </dataValidations>
  <hyperlinks>
    <hyperlink ref="A2" r:id="rId1" xr:uid="{5775FBEC-97F2-4DA1-B38F-7ADAF29CB924}"/>
  </hyperlinks>
  <printOptions horizontalCentered="1"/>
  <pageMargins left="0.31496062992125984" right="0.31496062992125984" top="0.35433070866141736" bottom="0.35433070866141736" header="0.31496062992125984" footer="0.31496062992125984"/>
  <pageSetup orientation="portrait" r:id="rId2"/>
  <drawing r:id="rId3"/>
  <legacyDrawing r:id="rId4"/>
  <tableParts count="14">
    <tablePart r:id="rId5"/>
    <tablePart r:id="rId6"/>
    <tablePart r:id="rId7"/>
    <tablePart r:id="rId8"/>
    <tablePart r:id="rId9"/>
    <tablePart r:id="rId10"/>
    <tablePart r:id="rId11"/>
    <tablePart r:id="rId12"/>
    <tablePart r:id="rId13"/>
    <tablePart r:id="rId14"/>
    <tablePart r:id="rId15"/>
    <tablePart r:id="rId16"/>
    <tablePart r:id="rId17"/>
    <tablePart r:id="rId18"/>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E390A-D1B7-4EEE-9082-6924BC7E8F49}">
  <dimension ref="B2:Q135"/>
  <sheetViews>
    <sheetView showGridLines="0" zoomScaleNormal="100" workbookViewId="0">
      <selection activeCell="Q60" sqref="Q60"/>
    </sheetView>
  </sheetViews>
  <sheetFormatPr defaultRowHeight="12.5" x14ac:dyDescent="0.25"/>
  <cols>
    <col min="1" max="1" width="2.81640625" style="48" customWidth="1"/>
    <col min="2" max="2" width="19.90625" style="48" bestFit="1" customWidth="1"/>
    <col min="3" max="4" width="9" style="48" bestFit="1" customWidth="1"/>
    <col min="5" max="5" width="10" style="48" bestFit="1" customWidth="1"/>
    <col min="6" max="14" width="9" style="48" bestFit="1" customWidth="1"/>
    <col min="15" max="15" width="8.6328125" style="48" customWidth="1"/>
    <col min="16" max="16" width="9.90625" style="48" customWidth="1"/>
    <col min="17" max="16384" width="8.7265625" style="48"/>
  </cols>
  <sheetData>
    <row r="2" spans="2:16" ht="15.5" x14ac:dyDescent="0.35">
      <c r="B2" s="107" t="s">
        <v>163</v>
      </c>
      <c r="C2" s="107"/>
      <c r="D2" s="107"/>
      <c r="E2" s="107"/>
      <c r="F2" s="107"/>
      <c r="G2" s="107"/>
      <c r="H2" s="107"/>
      <c r="I2" s="107"/>
      <c r="J2" s="107"/>
      <c r="K2" s="107"/>
      <c r="L2" s="107"/>
      <c r="M2" s="107"/>
      <c r="N2" s="107"/>
      <c r="O2" s="107"/>
      <c r="P2" s="107"/>
    </row>
    <row r="3" spans="2:16" ht="13" x14ac:dyDescent="0.3">
      <c r="B3" s="65" t="s">
        <v>186</v>
      </c>
    </row>
    <row r="5" spans="2:16" ht="14.5" x14ac:dyDescent="0.35">
      <c r="B5" s="66" t="s">
        <v>187</v>
      </c>
      <c r="E5" s="67"/>
      <c r="P5" s="68" t="s">
        <v>149</v>
      </c>
    </row>
    <row r="7" spans="2:16" ht="13" x14ac:dyDescent="0.3">
      <c r="B7" s="21" t="s">
        <v>167</v>
      </c>
      <c r="C7" s="20" t="str">
        <f>'Budget Input'!B5</f>
        <v>JAN</v>
      </c>
      <c r="D7" s="20" t="str">
        <f>'Budget Input'!C5</f>
        <v>FEB</v>
      </c>
      <c r="E7" s="20" t="str">
        <f>'Budget Input'!D5</f>
        <v>MAR</v>
      </c>
      <c r="F7" s="20" t="str">
        <f>'Budget Input'!E5</f>
        <v>APR</v>
      </c>
      <c r="G7" s="20" t="str">
        <f>'Budget Input'!F5</f>
        <v>MAY</v>
      </c>
      <c r="H7" s="20" t="str">
        <f>'Budget Input'!G5</f>
        <v>JUN</v>
      </c>
      <c r="I7" s="20" t="str">
        <f>'Budget Input'!H5</f>
        <v>JUL</v>
      </c>
      <c r="J7" s="20" t="str">
        <f>'Budget Input'!I5</f>
        <v>AUG</v>
      </c>
      <c r="K7" s="20" t="str">
        <f>'Budget Input'!J5</f>
        <v>SEP</v>
      </c>
      <c r="L7" s="20" t="str">
        <f>'Budget Input'!K5</f>
        <v>OCT</v>
      </c>
      <c r="M7" s="20" t="str">
        <f>'Budget Input'!L5</f>
        <v>NOV</v>
      </c>
      <c r="N7" s="20" t="str">
        <f>'Budget Input'!M5</f>
        <v>DEC</v>
      </c>
      <c r="O7" s="30" t="s">
        <v>18</v>
      </c>
      <c r="P7" s="39" t="s">
        <v>135</v>
      </c>
    </row>
    <row r="9" spans="2:16" ht="13.5" thickBot="1" x14ac:dyDescent="0.35">
      <c r="B9" s="52" t="s">
        <v>166</v>
      </c>
      <c r="C9" s="121">
        <f>Table1[[#Totals],[JAN]]</f>
        <v>14400</v>
      </c>
      <c r="D9" s="121">
        <f>Table1[[#Totals],[FEB]]</f>
        <v>13500</v>
      </c>
      <c r="E9" s="121">
        <f>Table1[[#Totals],[MAR]]</f>
        <v>14200</v>
      </c>
      <c r="F9" s="121">
        <f>Table1[[#Totals],[APR]]</f>
        <v>0</v>
      </c>
      <c r="G9" s="121">
        <f>Table1[[#Totals],[MAY]]</f>
        <v>0</v>
      </c>
      <c r="H9" s="121">
        <f>Table1[[#Totals],[JUN]]</f>
        <v>0</v>
      </c>
      <c r="I9" s="121">
        <f>Table1[[#Totals],[JUL]]</f>
        <v>0</v>
      </c>
      <c r="J9" s="121">
        <f>Table1[[#Totals],[AUG]]</f>
        <v>0</v>
      </c>
      <c r="K9" s="121">
        <f>Table1[[#Totals],[SEP]]</f>
        <v>0</v>
      </c>
      <c r="L9" s="121">
        <f>Table1[[#Totals],[OCT]]</f>
        <v>0</v>
      </c>
      <c r="M9" s="121">
        <f>Table1[[#Totals],[NOV]]</f>
        <v>0</v>
      </c>
      <c r="N9" s="121">
        <f>Table1[[#Totals],[DEC]]</f>
        <v>0</v>
      </c>
      <c r="O9" s="49">
        <f>SUM(C9:N9)</f>
        <v>42100</v>
      </c>
      <c r="P9" s="50">
        <f>IFERROR(AVERAGEIF(C9:N9, "&gt;0"), 0)</f>
        <v>14033.333333333334</v>
      </c>
    </row>
    <row r="10" spans="2:16" ht="13" thickTop="1" x14ac:dyDescent="0.25"/>
    <row r="11" spans="2:16" ht="13" x14ac:dyDescent="0.3">
      <c r="B11" s="48" t="str">
        <f>Table2[[#Headers],[HOME EXPENSES]]</f>
        <v>HOME EXPENSES</v>
      </c>
      <c r="C11" s="57">
        <f>Table2[[#Totals],[JAN]]</f>
        <v>200</v>
      </c>
      <c r="D11" s="57">
        <f>Table2[[#Totals],[FEB]]</f>
        <v>200</v>
      </c>
      <c r="E11" s="57">
        <f>Table2[[#Totals],[MAR]]</f>
        <v>300</v>
      </c>
      <c r="F11" s="57">
        <f>Table2[[#Totals],[APR]]</f>
        <v>0</v>
      </c>
      <c r="G11" s="57">
        <f>Table2[[#Totals],[MAY]]</f>
        <v>0</v>
      </c>
      <c r="H11" s="57">
        <f>Table2[[#Totals],[JUN]]</f>
        <v>200</v>
      </c>
      <c r="I11" s="57">
        <f>Table2[[#Totals],[JUL]]</f>
        <v>500</v>
      </c>
      <c r="J11" s="57">
        <f>Table2[[#Totals],[AUG]]</f>
        <v>0</v>
      </c>
      <c r="K11" s="57">
        <f>Table2[[#Totals],[SEP]]</f>
        <v>0</v>
      </c>
      <c r="L11" s="57">
        <f>Table2[[#Totals],[OCT]]</f>
        <v>0</v>
      </c>
      <c r="M11" s="57">
        <f>Table2[[#Totals],[NOV]]</f>
        <v>0</v>
      </c>
      <c r="N11" s="57">
        <f>Table2[[#Totals],[DEC]]</f>
        <v>700</v>
      </c>
      <c r="O11" s="53">
        <f>SUM(C11:N11)</f>
        <v>2100</v>
      </c>
      <c r="P11" s="54">
        <f>IFERROR(AVERAGEIF(C11:N11, "&gt;0"), 0)</f>
        <v>350</v>
      </c>
    </row>
    <row r="12" spans="2:16" ht="13" x14ac:dyDescent="0.3">
      <c r="B12" s="48" t="str">
        <f>Table3[[#Headers],[TRANSPORTATION]]</f>
        <v>TRANSPORTATION</v>
      </c>
      <c r="C12" s="57">
        <f>Table3[[#Totals],[JAN]]</f>
        <v>120</v>
      </c>
      <c r="D12" s="57">
        <f>Table3[[#Totals],[FEB]]</f>
        <v>120</v>
      </c>
      <c r="E12" s="57">
        <f>Table3[[#Totals],[MAR]]</f>
        <v>130</v>
      </c>
      <c r="F12" s="57">
        <f>Table3[[#Totals],[APR]]</f>
        <v>0</v>
      </c>
      <c r="G12" s="57">
        <f>Table3[[#Totals],[MAY]]</f>
        <v>0</v>
      </c>
      <c r="H12" s="57">
        <f>Table3[[#Totals],[JUN]]</f>
        <v>0</v>
      </c>
      <c r="I12" s="57">
        <f>Table3[[#Totals],[JUL]]</f>
        <v>0</v>
      </c>
      <c r="J12" s="57">
        <f>Table3[[#Totals],[AUG]]</f>
        <v>0</v>
      </c>
      <c r="K12" s="57">
        <f>Table3[[#Totals],[SEP]]</f>
        <v>0</v>
      </c>
      <c r="L12" s="57">
        <f>Table3[[#Totals],[OCT]]</f>
        <v>0</v>
      </c>
      <c r="M12" s="57">
        <f>Table3[[#Totals],[NOV]]</f>
        <v>0</v>
      </c>
      <c r="N12" s="57">
        <f>Table3[[#Totals],[DEC]]</f>
        <v>0</v>
      </c>
      <c r="O12" s="53">
        <f t="shared" ref="O12:O24" si="0">SUM(C12:N12)</f>
        <v>370</v>
      </c>
      <c r="P12" s="54">
        <f t="shared" ref="P12:P24" si="1">IFERROR(AVERAGEIF(C12:N12, "&gt;0"), 0)</f>
        <v>123.33333333333333</v>
      </c>
    </row>
    <row r="13" spans="2:16" ht="13" x14ac:dyDescent="0.3">
      <c r="B13" s="48" t="str">
        <f>Table4[[#Headers],[HEALTH]]</f>
        <v>HEALTH</v>
      </c>
      <c r="C13" s="57">
        <f>Table4[[#Totals],[JAN]]</f>
        <v>130</v>
      </c>
      <c r="D13" s="57">
        <f>Table4[[#Totals],[FEB]]</f>
        <v>0</v>
      </c>
      <c r="E13" s="57">
        <f>Table4[[#Totals],[MAR]]</f>
        <v>170</v>
      </c>
      <c r="F13" s="57">
        <f>Table4[[#Totals],[APR]]</f>
        <v>160</v>
      </c>
      <c r="G13" s="57">
        <f>Table4[[#Totals],[MAY]]</f>
        <v>120</v>
      </c>
      <c r="H13" s="57">
        <f>Table4[[#Totals],[JUN]]</f>
        <v>0</v>
      </c>
      <c r="I13" s="57">
        <f>Table4[[#Totals],[JUL]]</f>
        <v>0</v>
      </c>
      <c r="J13" s="57">
        <f>Table4[[#Totals],[AUG]]</f>
        <v>0</v>
      </c>
      <c r="K13" s="57">
        <f>Table4[[#Totals],[SEP]]</f>
        <v>0</v>
      </c>
      <c r="L13" s="57">
        <f>Table4[[#Totals],[OCT]]</f>
        <v>0</v>
      </c>
      <c r="M13" s="57">
        <f>Table4[[#Totals],[NOV]]</f>
        <v>0</v>
      </c>
      <c r="N13" s="57">
        <f>Table4[[#Totals],[DEC]]</f>
        <v>0</v>
      </c>
      <c r="O13" s="53">
        <f t="shared" si="0"/>
        <v>580</v>
      </c>
      <c r="P13" s="54">
        <f t="shared" si="1"/>
        <v>145</v>
      </c>
    </row>
    <row r="14" spans="2:16" ht="13" x14ac:dyDescent="0.3">
      <c r="B14" s="48" t="str">
        <f>Table5[[#Headers],[CHARITY / GIFTS]]</f>
        <v>CHARITY / GIFTS</v>
      </c>
      <c r="C14" s="57">
        <f>Table5[[#Totals],[JAN]]</f>
        <v>550</v>
      </c>
      <c r="D14" s="57">
        <f>Table5[[#Totals],[FEB]]</f>
        <v>0</v>
      </c>
      <c r="E14" s="57">
        <f>Table5[[#Totals],[MAR]]</f>
        <v>0</v>
      </c>
      <c r="F14" s="57">
        <f>Table5[[#Totals],[APR]]</f>
        <v>0</v>
      </c>
      <c r="G14" s="57">
        <f>Table5[[#Totals],[MAY]]</f>
        <v>0</v>
      </c>
      <c r="H14" s="57">
        <f>Table5[[#Totals],[JUN]]</f>
        <v>0</v>
      </c>
      <c r="I14" s="57">
        <f>Table5[[#Totals],[JUL]]</f>
        <v>0</v>
      </c>
      <c r="J14" s="57">
        <f>Table5[[#Totals],[AUG]]</f>
        <v>0</v>
      </c>
      <c r="K14" s="57">
        <f>Table5[[#Totals],[SEP]]</f>
        <v>0</v>
      </c>
      <c r="L14" s="57">
        <f>Table5[[#Totals],[OCT]]</f>
        <v>0</v>
      </c>
      <c r="M14" s="57">
        <f>Table5[[#Totals],[NOV]]</f>
        <v>0</v>
      </c>
      <c r="N14" s="57">
        <f>Table5[[#Totals],[DEC]]</f>
        <v>0</v>
      </c>
      <c r="O14" s="53">
        <f t="shared" si="0"/>
        <v>550</v>
      </c>
      <c r="P14" s="54">
        <f t="shared" si="1"/>
        <v>550</v>
      </c>
    </row>
    <row r="15" spans="2:16" ht="13" x14ac:dyDescent="0.3">
      <c r="B15" s="48" t="str">
        <f>Table6[[#Headers],[DAILY LIVING]]</f>
        <v>DAILY LIVING</v>
      </c>
      <c r="C15" s="57">
        <f>Table6[[#Totals],[JAN]]</f>
        <v>1200</v>
      </c>
      <c r="D15" s="57">
        <f>Table6[[#Totals],[FEB]]</f>
        <v>1200</v>
      </c>
      <c r="E15" s="57">
        <f>Table6[[#Totals],[MAR]]</f>
        <v>1050</v>
      </c>
      <c r="F15" s="57">
        <f>Table6[[#Totals],[APR]]</f>
        <v>0</v>
      </c>
      <c r="G15" s="57">
        <f>Table6[[#Totals],[MAY]]</f>
        <v>0</v>
      </c>
      <c r="H15" s="57">
        <f>Table6[[#Totals],[JUN]]</f>
        <v>0</v>
      </c>
      <c r="I15" s="57">
        <f>Table6[[#Totals],[JUL]]</f>
        <v>0</v>
      </c>
      <c r="J15" s="57">
        <f>Table6[[#Totals],[AUG]]</f>
        <v>0</v>
      </c>
      <c r="K15" s="57">
        <f>Table6[[#Totals],[SEP]]</f>
        <v>0</v>
      </c>
      <c r="L15" s="57">
        <f>Table6[[#Totals],[OCT]]</f>
        <v>0</v>
      </c>
      <c r="M15" s="57">
        <f>Table6[[#Totals],[NOV]]</f>
        <v>0</v>
      </c>
      <c r="N15" s="57">
        <f>Table6[[#Totals],[DEC]]</f>
        <v>0</v>
      </c>
      <c r="O15" s="53">
        <f t="shared" si="0"/>
        <v>3450</v>
      </c>
      <c r="P15" s="54">
        <f t="shared" si="1"/>
        <v>1150</v>
      </c>
    </row>
    <row r="16" spans="2:16" ht="13" x14ac:dyDescent="0.3">
      <c r="B16" s="48" t="str">
        <f>Table7[[#Headers],[CHILDREN EXPENSES]]</f>
        <v>CHILDREN EXPENSES</v>
      </c>
      <c r="C16" s="57">
        <f>Table7[[#Totals],[JAN]]</f>
        <v>200</v>
      </c>
      <c r="D16" s="57">
        <f>Table7[[#Totals],[FEB]]</f>
        <v>250</v>
      </c>
      <c r="E16" s="57">
        <f>Table7[[#Totals],[MAR]]</f>
        <v>250</v>
      </c>
      <c r="F16" s="57">
        <f>Table7[[#Totals],[APR]]</f>
        <v>200</v>
      </c>
      <c r="G16" s="57">
        <f>Table7[[#Totals],[MAY]]</f>
        <v>0</v>
      </c>
      <c r="H16" s="57">
        <f>Table7[[#Totals],[JUN]]</f>
        <v>0</v>
      </c>
      <c r="I16" s="57">
        <f>Table7[[#Totals],[JUL]]</f>
        <v>0</v>
      </c>
      <c r="J16" s="57">
        <f>Table7[[#Totals],[AUG]]</f>
        <v>0</v>
      </c>
      <c r="K16" s="57">
        <f>Table7[[#Totals],[SEP]]</f>
        <v>0</v>
      </c>
      <c r="L16" s="57">
        <f>Table7[[#Totals],[OCT]]</f>
        <v>0</v>
      </c>
      <c r="M16" s="57">
        <f>Table7[[#Totals],[NOV]]</f>
        <v>0</v>
      </c>
      <c r="N16" s="57">
        <f>Table7[[#Totals],[DEC]]</f>
        <v>0</v>
      </c>
      <c r="O16" s="53">
        <f t="shared" si="0"/>
        <v>900</v>
      </c>
      <c r="P16" s="54">
        <f t="shared" si="1"/>
        <v>225</v>
      </c>
    </row>
    <row r="17" spans="2:16" ht="13" x14ac:dyDescent="0.3">
      <c r="B17" s="48" t="str">
        <f>Table8[[#Headers],[ENTERTAINMENT]]</f>
        <v>ENTERTAINMENT</v>
      </c>
      <c r="C17" s="57">
        <f>Table8[[#Totals],[JAN]]</f>
        <v>150</v>
      </c>
      <c r="D17" s="57">
        <f>Table8[[#Totals],[FEB]]</f>
        <v>130</v>
      </c>
      <c r="E17" s="57">
        <f>Table8[[#Totals],[MAR]]</f>
        <v>120</v>
      </c>
      <c r="F17" s="57">
        <f>Table8[[#Totals],[APR]]</f>
        <v>0</v>
      </c>
      <c r="G17" s="57">
        <f>Table8[[#Totals],[MAY]]</f>
        <v>0</v>
      </c>
      <c r="H17" s="57">
        <f>Table8[[#Totals],[JUN]]</f>
        <v>0</v>
      </c>
      <c r="I17" s="57">
        <f>Table8[[#Totals],[JUL]]</f>
        <v>0</v>
      </c>
      <c r="J17" s="57">
        <f>Table8[[#Totals],[AUG]]</f>
        <v>0</v>
      </c>
      <c r="K17" s="57">
        <f>Table8[[#Totals],[SEP]]</f>
        <v>0</v>
      </c>
      <c r="L17" s="57">
        <f>Table8[[#Totals],[OCT]]</f>
        <v>0</v>
      </c>
      <c r="M17" s="57">
        <f>Table8[[#Totals],[NOV]]</f>
        <v>0</v>
      </c>
      <c r="N17" s="57">
        <f>Table8[[#Totals],[DEC]]</f>
        <v>0</v>
      </c>
      <c r="O17" s="53">
        <f t="shared" si="0"/>
        <v>400</v>
      </c>
      <c r="P17" s="54">
        <f t="shared" si="1"/>
        <v>133.33333333333334</v>
      </c>
    </row>
    <row r="18" spans="2:16" ht="13" x14ac:dyDescent="0.3">
      <c r="B18" s="48" t="str">
        <f>Table9[[#Headers],[SAVINGS]]</f>
        <v>SAVINGS</v>
      </c>
      <c r="C18" s="57">
        <f>Table9[[#Totals],[JAN]]</f>
        <v>1500</v>
      </c>
      <c r="D18" s="57">
        <f>Table9[[#Totals],[FEB]]</f>
        <v>1500</v>
      </c>
      <c r="E18" s="57">
        <f>Table9[[#Totals],[MAR]]</f>
        <v>1300</v>
      </c>
      <c r="F18" s="57">
        <f>Table9[[#Totals],[APR]]</f>
        <v>1200</v>
      </c>
      <c r="G18" s="57">
        <f>Table9[[#Totals],[MAY]]</f>
        <v>0</v>
      </c>
      <c r="H18" s="57">
        <f>Table9[[#Totals],[JUN]]</f>
        <v>0</v>
      </c>
      <c r="I18" s="57">
        <f>Table9[[#Totals],[JUL]]</f>
        <v>0</v>
      </c>
      <c r="J18" s="57">
        <f>Table9[[#Totals],[AUG]]</f>
        <v>0</v>
      </c>
      <c r="K18" s="57">
        <f>Table9[[#Totals],[SEP]]</f>
        <v>0</v>
      </c>
      <c r="L18" s="57">
        <f>Table9[[#Totals],[OCT]]</f>
        <v>0</v>
      </c>
      <c r="M18" s="57">
        <f>Table9[[#Totals],[NOV]]</f>
        <v>0</v>
      </c>
      <c r="N18" s="57">
        <f>Table9[[#Totals],[DEC]]</f>
        <v>0</v>
      </c>
      <c r="O18" s="53">
        <f t="shared" si="0"/>
        <v>5500</v>
      </c>
      <c r="P18" s="54">
        <f t="shared" si="1"/>
        <v>1375</v>
      </c>
    </row>
    <row r="19" spans="2:16" ht="13" x14ac:dyDescent="0.3">
      <c r="B19" s="48" t="str">
        <f>Table10[[#Headers],[DEBT REPAYMENTS]]</f>
        <v>DEBT REPAYMENTS</v>
      </c>
      <c r="C19" s="57">
        <f>Table10[[#Totals],[JAN]]</f>
        <v>2000</v>
      </c>
      <c r="D19" s="57">
        <f>Table10[[#Totals],[FEB]]</f>
        <v>3000</v>
      </c>
      <c r="E19" s="57">
        <f>Table10[[#Totals],[MAR]]</f>
        <v>2500</v>
      </c>
      <c r="F19" s="57">
        <f>Table10[[#Totals],[APR]]</f>
        <v>2000</v>
      </c>
      <c r="G19" s="57">
        <f>Table10[[#Totals],[MAY]]</f>
        <v>0</v>
      </c>
      <c r="H19" s="57">
        <f>Table10[[#Totals],[JUN]]</f>
        <v>0</v>
      </c>
      <c r="I19" s="57">
        <f>Table10[[#Totals],[JUL]]</f>
        <v>0</v>
      </c>
      <c r="J19" s="57">
        <f>Table10[[#Totals],[AUG]]</f>
        <v>0</v>
      </c>
      <c r="K19" s="57">
        <f>Table10[[#Totals],[SEP]]</f>
        <v>0</v>
      </c>
      <c r="L19" s="57">
        <f>Table10[[#Totals],[OCT]]</f>
        <v>0</v>
      </c>
      <c r="M19" s="57">
        <f>Table10[[#Totals],[NOV]]</f>
        <v>0</v>
      </c>
      <c r="N19" s="57">
        <f>Table10[[#Totals],[DEC]]</f>
        <v>0</v>
      </c>
      <c r="O19" s="53">
        <f t="shared" si="0"/>
        <v>9500</v>
      </c>
      <c r="P19" s="54">
        <f t="shared" si="1"/>
        <v>2375</v>
      </c>
    </row>
    <row r="20" spans="2:16" ht="13" x14ac:dyDescent="0.3">
      <c r="B20" s="48" t="str">
        <f>Table11[[#Headers],[OBLIGATIONS]]</f>
        <v>OBLIGATIONS</v>
      </c>
      <c r="C20" s="57">
        <f>Table11[[#Totals],[JAN]]</f>
        <v>600</v>
      </c>
      <c r="D20" s="57">
        <f>Table11[[#Totals],[FEB]]</f>
        <v>0</v>
      </c>
      <c r="E20" s="57">
        <f>Table11[[#Totals],[MAR]]</f>
        <v>0</v>
      </c>
      <c r="F20" s="57">
        <f>Table11[[#Totals],[APR]]</f>
        <v>800</v>
      </c>
      <c r="G20" s="57">
        <f>Table11[[#Totals],[MAY]]</f>
        <v>0</v>
      </c>
      <c r="H20" s="57">
        <f>Table11[[#Totals],[JUN]]</f>
        <v>1500</v>
      </c>
      <c r="I20" s="57">
        <f>Table11[[#Totals],[JUL]]</f>
        <v>0</v>
      </c>
      <c r="J20" s="57">
        <f>Table11[[#Totals],[AUG]]</f>
        <v>0</v>
      </c>
      <c r="K20" s="57">
        <f>Table11[[#Totals],[SEP]]</f>
        <v>0</v>
      </c>
      <c r="L20" s="57">
        <f>Table11[[#Totals],[OCT]]</f>
        <v>0</v>
      </c>
      <c r="M20" s="57">
        <f>Table11[[#Totals],[NOV]]</f>
        <v>0</v>
      </c>
      <c r="N20" s="57">
        <f>Table11[[#Totals],[DEC]]</f>
        <v>0</v>
      </c>
      <c r="O20" s="53">
        <f t="shared" si="0"/>
        <v>2900</v>
      </c>
      <c r="P20" s="54">
        <f t="shared" si="1"/>
        <v>966.66666666666663</v>
      </c>
    </row>
    <row r="21" spans="2:16" ht="13" x14ac:dyDescent="0.3">
      <c r="B21" s="48" t="str">
        <f>Table12[[#Headers],[PROPERTY/ ASSETS]]</f>
        <v>PROPERTY/ ASSETS</v>
      </c>
      <c r="C21" s="57">
        <f>Table12[[#Totals],[JAN]]</f>
        <v>1200</v>
      </c>
      <c r="D21" s="57">
        <f>Table12[[#Totals],[FEB]]</f>
        <v>0</v>
      </c>
      <c r="E21" s="57">
        <f>Table12[[#Totals],[MAR]]</f>
        <v>50</v>
      </c>
      <c r="F21" s="57">
        <f>Table12[[#Totals],[APR]]</f>
        <v>0</v>
      </c>
      <c r="G21" s="57">
        <f>Table12[[#Totals],[MAY]]</f>
        <v>70</v>
      </c>
      <c r="H21" s="57">
        <f>Table12[[#Totals],[JUN]]</f>
        <v>0</v>
      </c>
      <c r="I21" s="57">
        <f>Table12[[#Totals],[JUL]]</f>
        <v>0</v>
      </c>
      <c r="J21" s="57">
        <f>Table12[[#Totals],[AUG]]</f>
        <v>0</v>
      </c>
      <c r="K21" s="57">
        <f>Table12[[#Totals],[SEP]]</f>
        <v>0</v>
      </c>
      <c r="L21" s="57">
        <f>Table12[[#Totals],[OCT]]</f>
        <v>0</v>
      </c>
      <c r="M21" s="57">
        <f>Table12[[#Totals],[NOV]]</f>
        <v>0</v>
      </c>
      <c r="N21" s="57">
        <f>Table12[[#Totals],[DEC]]</f>
        <v>0</v>
      </c>
      <c r="O21" s="53">
        <f t="shared" si="0"/>
        <v>1320</v>
      </c>
      <c r="P21" s="54">
        <f t="shared" si="1"/>
        <v>440</v>
      </c>
    </row>
    <row r="22" spans="2:16" ht="13" x14ac:dyDescent="0.3">
      <c r="B22" s="48" t="str">
        <f>Table13[[#Headers],[SUBSCRIPTIONS]]</f>
        <v>SUBSCRIPTIONS</v>
      </c>
      <c r="C22" s="57">
        <f>Table13[[#Totals],[JAN]]</f>
        <v>330</v>
      </c>
      <c r="D22" s="57">
        <f>Table13[[#Totals],[FEB]]</f>
        <v>0</v>
      </c>
      <c r="E22" s="57">
        <f>Table13[[#Totals],[MAR]]</f>
        <v>50</v>
      </c>
      <c r="F22" s="57">
        <f>Table13[[#Totals],[APR]]</f>
        <v>0</v>
      </c>
      <c r="G22" s="57">
        <f>Table13[[#Totals],[MAY]]</f>
        <v>70</v>
      </c>
      <c r="H22" s="57">
        <f>Table13[[#Totals],[JUN]]</f>
        <v>0</v>
      </c>
      <c r="I22" s="57">
        <f>Table13[[#Totals],[JUL]]</f>
        <v>0</v>
      </c>
      <c r="J22" s="57">
        <f>Table13[[#Totals],[AUG]]</f>
        <v>0</v>
      </c>
      <c r="K22" s="57">
        <f>Table13[[#Totals],[SEP]]</f>
        <v>0</v>
      </c>
      <c r="L22" s="57">
        <f>Table13[[#Totals],[OCT]]</f>
        <v>0</v>
      </c>
      <c r="M22" s="57">
        <f>Table13[[#Totals],[NOV]]</f>
        <v>0</v>
      </c>
      <c r="N22" s="57">
        <f>Table13[[#Totals],[DEC]]</f>
        <v>0</v>
      </c>
      <c r="O22" s="53">
        <f t="shared" si="0"/>
        <v>450</v>
      </c>
      <c r="P22" s="54">
        <f t="shared" si="1"/>
        <v>150</v>
      </c>
    </row>
    <row r="23" spans="2:16" ht="13" x14ac:dyDescent="0.3">
      <c r="B23" s="48" t="str">
        <f>Table14[[#Headers],[MISCELLANEOUS]]</f>
        <v>MISCELLANEOUS</v>
      </c>
      <c r="C23" s="57">
        <f>Table14[[#Totals],[JAN]]</f>
        <v>100</v>
      </c>
      <c r="D23" s="57">
        <f>Table14[[#Totals],[FEB]]</f>
        <v>100</v>
      </c>
      <c r="E23" s="57">
        <f>Table14[[#Totals],[MAR]]</f>
        <v>0</v>
      </c>
      <c r="F23" s="57">
        <f>Table14[[#Totals],[APR]]</f>
        <v>0</v>
      </c>
      <c r="G23" s="57">
        <f>Table14[[#Totals],[MAY]]</f>
        <v>200</v>
      </c>
      <c r="H23" s="57">
        <f>Table14[[#Totals],[JUN]]</f>
        <v>0</v>
      </c>
      <c r="I23" s="57">
        <f>Table14[[#Totals],[JUL]]</f>
        <v>300</v>
      </c>
      <c r="J23" s="57">
        <f>Table14[[#Totals],[AUG]]</f>
        <v>0</v>
      </c>
      <c r="K23" s="57">
        <f>Table14[[#Totals],[SEP]]</f>
        <v>0</v>
      </c>
      <c r="L23" s="57">
        <f>Table14[[#Totals],[OCT]]</f>
        <v>0</v>
      </c>
      <c r="M23" s="57">
        <f>Table14[[#Totals],[NOV]]</f>
        <v>0</v>
      </c>
      <c r="N23" s="57">
        <f>Table14[[#Totals],[DEC]]</f>
        <v>0</v>
      </c>
      <c r="O23" s="53">
        <f t="shared" si="0"/>
        <v>700</v>
      </c>
      <c r="P23" s="54">
        <f t="shared" si="1"/>
        <v>175</v>
      </c>
    </row>
    <row r="24" spans="2:16" ht="13.5" thickBot="1" x14ac:dyDescent="0.35">
      <c r="B24" s="52" t="s">
        <v>170</v>
      </c>
      <c r="C24" s="55">
        <f>SUM(C11:C23)</f>
        <v>8280</v>
      </c>
      <c r="D24" s="55">
        <f t="shared" ref="D24:N24" si="2">SUM(D11:D23)</f>
        <v>6500</v>
      </c>
      <c r="E24" s="55">
        <f t="shared" si="2"/>
        <v>5920</v>
      </c>
      <c r="F24" s="55">
        <f t="shared" si="2"/>
        <v>4360</v>
      </c>
      <c r="G24" s="55">
        <f t="shared" si="2"/>
        <v>460</v>
      </c>
      <c r="H24" s="55">
        <f t="shared" si="2"/>
        <v>1700</v>
      </c>
      <c r="I24" s="55">
        <f t="shared" si="2"/>
        <v>800</v>
      </c>
      <c r="J24" s="55">
        <f t="shared" si="2"/>
        <v>0</v>
      </c>
      <c r="K24" s="55">
        <f t="shared" si="2"/>
        <v>0</v>
      </c>
      <c r="L24" s="55">
        <f t="shared" si="2"/>
        <v>0</v>
      </c>
      <c r="M24" s="55">
        <f t="shared" si="2"/>
        <v>0</v>
      </c>
      <c r="N24" s="55">
        <f t="shared" si="2"/>
        <v>700</v>
      </c>
      <c r="O24" s="86">
        <f t="shared" si="0"/>
        <v>28720</v>
      </c>
      <c r="P24" s="86">
        <f t="shared" si="1"/>
        <v>3590</v>
      </c>
    </row>
    <row r="25" spans="2:16" ht="13.5" thickTop="1" x14ac:dyDescent="0.3">
      <c r="B25" s="52"/>
      <c r="C25" s="84"/>
      <c r="D25" s="84"/>
      <c r="E25" s="84"/>
      <c r="F25" s="84"/>
      <c r="G25" s="84"/>
      <c r="H25" s="84"/>
      <c r="I25" s="84"/>
      <c r="J25" s="84"/>
      <c r="K25" s="84"/>
      <c r="L25" s="84"/>
      <c r="M25" s="84"/>
      <c r="N25" s="84"/>
      <c r="O25" s="85"/>
      <c r="P25" s="38"/>
    </row>
    <row r="26" spans="2:16" ht="13" x14ac:dyDescent="0.3">
      <c r="B26" s="52" t="s">
        <v>2</v>
      </c>
      <c r="C26" s="83">
        <f>C9-C24</f>
        <v>6120</v>
      </c>
      <c r="D26" s="83">
        <f t="shared" ref="D26:N26" si="3">D9-D24</f>
        <v>7000</v>
      </c>
      <c r="E26" s="83">
        <f t="shared" si="3"/>
        <v>8280</v>
      </c>
      <c r="F26" s="83">
        <f t="shared" si="3"/>
        <v>-4360</v>
      </c>
      <c r="G26" s="83">
        <f t="shared" si="3"/>
        <v>-460</v>
      </c>
      <c r="H26" s="83">
        <f t="shared" si="3"/>
        <v>-1700</v>
      </c>
      <c r="I26" s="83">
        <f t="shared" si="3"/>
        <v>-800</v>
      </c>
      <c r="J26" s="83">
        <f t="shared" si="3"/>
        <v>0</v>
      </c>
      <c r="K26" s="83">
        <f t="shared" si="3"/>
        <v>0</v>
      </c>
      <c r="L26" s="83">
        <f t="shared" si="3"/>
        <v>0</v>
      </c>
      <c r="M26" s="83">
        <f t="shared" si="3"/>
        <v>0</v>
      </c>
      <c r="N26" s="83">
        <f t="shared" si="3"/>
        <v>-700</v>
      </c>
      <c r="O26" s="86">
        <f>SUM(C26:N26)</f>
        <v>13380</v>
      </c>
      <c r="P26" s="38"/>
    </row>
    <row r="27" spans="2:16" ht="13" x14ac:dyDescent="0.3">
      <c r="B27" s="52"/>
      <c r="C27" s="84"/>
      <c r="D27" s="84"/>
      <c r="E27" s="84"/>
      <c r="F27" s="84"/>
      <c r="G27" s="84"/>
      <c r="H27" s="84"/>
      <c r="I27" s="84"/>
      <c r="J27" s="84"/>
      <c r="K27" s="84"/>
      <c r="L27" s="84"/>
      <c r="M27" s="84"/>
      <c r="N27" s="84"/>
      <c r="O27" s="85"/>
      <c r="P27" s="38"/>
    </row>
    <row r="43" spans="3:10" ht="15.5" x14ac:dyDescent="0.35">
      <c r="C43" s="81" t="s">
        <v>194</v>
      </c>
    </row>
    <row r="46" spans="3:10" ht="13" x14ac:dyDescent="0.3">
      <c r="C46" s="76" t="s">
        <v>196</v>
      </c>
    </row>
    <row r="47" spans="3:10" ht="13" x14ac:dyDescent="0.3">
      <c r="C47" s="76"/>
    </row>
    <row r="48" spans="3:10" ht="13" x14ac:dyDescent="0.3">
      <c r="E48" s="80" t="s">
        <v>197</v>
      </c>
      <c r="F48" s="80" t="s">
        <v>198</v>
      </c>
      <c r="G48" s="108" t="s">
        <v>195</v>
      </c>
      <c r="H48" s="108"/>
      <c r="I48" s="108" t="s">
        <v>200</v>
      </c>
      <c r="J48" s="108"/>
    </row>
    <row r="49" spans="3:17" ht="17" customHeight="1" x14ac:dyDescent="0.3">
      <c r="C49" s="48" t="str">
        <f>'Budget Input'!R26</f>
        <v>Needs</v>
      </c>
      <c r="E49" s="77">
        <f>'Budget Input'!$R$178</f>
        <v>19000</v>
      </c>
      <c r="F49" s="79">
        <f>E49/$E$52</f>
        <v>0.66155988857938719</v>
      </c>
      <c r="G49" s="109">
        <v>0.5</v>
      </c>
      <c r="H49" s="110"/>
      <c r="I49" s="111">
        <f>F49-G49</f>
        <v>0.16155988857938719</v>
      </c>
      <c r="J49" s="111"/>
    </row>
    <row r="50" spans="3:17" ht="17" customHeight="1" x14ac:dyDescent="0.3">
      <c r="C50" s="48" t="str">
        <f>'Budget Input'!R27</f>
        <v>Wants</v>
      </c>
      <c r="E50" s="77">
        <f>'Budget Input'!$S$178</f>
        <v>4220</v>
      </c>
      <c r="F50" s="79">
        <f t="shared" ref="F50:F51" si="4">E50/$E$52</f>
        <v>0.14693593314763231</v>
      </c>
      <c r="G50" s="109">
        <v>0.3</v>
      </c>
      <c r="H50" s="110"/>
      <c r="I50" s="111">
        <f t="shared" ref="I50:I51" si="5">F50-G50</f>
        <v>-0.15306406685236768</v>
      </c>
      <c r="J50" s="111"/>
    </row>
    <row r="51" spans="3:17" ht="17" customHeight="1" x14ac:dyDescent="0.3">
      <c r="C51" s="48" t="str">
        <f>'Budget Input'!R28</f>
        <v>Savings</v>
      </c>
      <c r="E51" s="77">
        <f>'Budget Input'!$T$178</f>
        <v>5500</v>
      </c>
      <c r="F51" s="79">
        <f t="shared" si="4"/>
        <v>0.1915041782729805</v>
      </c>
      <c r="G51" s="109">
        <v>0.2</v>
      </c>
      <c r="H51" s="110"/>
      <c r="I51" s="111">
        <f t="shared" si="5"/>
        <v>-8.4958217270195147E-3</v>
      </c>
      <c r="J51" s="111"/>
    </row>
    <row r="52" spans="3:17" ht="17" customHeight="1" thickBot="1" x14ac:dyDescent="0.35">
      <c r="C52" s="52" t="s">
        <v>199</v>
      </c>
      <c r="D52" s="52"/>
      <c r="E52" s="78">
        <f>SUM(E49:E51)</f>
        <v>28720</v>
      </c>
    </row>
    <row r="53" spans="3:17" ht="13" thickTop="1" x14ac:dyDescent="0.25"/>
    <row r="55" spans="3:17" ht="13" x14ac:dyDescent="0.3">
      <c r="Q55" s="82">
        <f>E52-O24</f>
        <v>0</v>
      </c>
    </row>
    <row r="78" spans="2:3" ht="14" x14ac:dyDescent="0.3">
      <c r="B78" s="56" t="s">
        <v>171</v>
      </c>
      <c r="C78" s="56"/>
    </row>
    <row r="79" spans="2:3" ht="13" x14ac:dyDescent="0.3">
      <c r="B79" s="58" t="s">
        <v>182</v>
      </c>
    </row>
    <row r="81" spans="2:14" ht="13" x14ac:dyDescent="0.3">
      <c r="C81" s="20" t="str">
        <f t="shared" ref="C81:N81" si="6">C7</f>
        <v>JAN</v>
      </c>
      <c r="D81" s="20" t="str">
        <f t="shared" si="6"/>
        <v>FEB</v>
      </c>
      <c r="E81" s="20" t="str">
        <f t="shared" si="6"/>
        <v>MAR</v>
      </c>
      <c r="F81" s="20" t="str">
        <f t="shared" si="6"/>
        <v>APR</v>
      </c>
      <c r="G81" s="20" t="str">
        <f t="shared" si="6"/>
        <v>MAY</v>
      </c>
      <c r="H81" s="20" t="str">
        <f t="shared" si="6"/>
        <v>JUN</v>
      </c>
      <c r="I81" s="20" t="str">
        <f t="shared" si="6"/>
        <v>JUL</v>
      </c>
      <c r="J81" s="20" t="str">
        <f t="shared" si="6"/>
        <v>AUG</v>
      </c>
      <c r="K81" s="20" t="str">
        <f t="shared" si="6"/>
        <v>SEP</v>
      </c>
      <c r="L81" s="20" t="str">
        <f t="shared" si="6"/>
        <v>OCT</v>
      </c>
      <c r="M81" s="20" t="str">
        <f t="shared" si="6"/>
        <v>NOV</v>
      </c>
      <c r="N81" s="20" t="str">
        <f t="shared" si="6"/>
        <v>DEC</v>
      </c>
    </row>
    <row r="82" spans="2:14" x14ac:dyDescent="0.25">
      <c r="B82" s="48" t="s">
        <v>172</v>
      </c>
      <c r="C82" s="59"/>
      <c r="D82" s="60">
        <f>C86</f>
        <v>1500</v>
      </c>
      <c r="E82" s="60">
        <f t="shared" ref="E82:N82" si="7">D86</f>
        <v>3000</v>
      </c>
      <c r="F82" s="60">
        <f t="shared" si="7"/>
        <v>4300</v>
      </c>
      <c r="G82" s="60">
        <f t="shared" si="7"/>
        <v>5500</v>
      </c>
      <c r="H82" s="60">
        <f t="shared" si="7"/>
        <v>5500</v>
      </c>
      <c r="I82" s="60">
        <f t="shared" si="7"/>
        <v>5500</v>
      </c>
      <c r="J82" s="60">
        <f t="shared" si="7"/>
        <v>5500</v>
      </c>
      <c r="K82" s="60">
        <f t="shared" si="7"/>
        <v>5500</v>
      </c>
      <c r="L82" s="60">
        <f t="shared" si="7"/>
        <v>5500</v>
      </c>
      <c r="M82" s="60">
        <f t="shared" si="7"/>
        <v>5500</v>
      </c>
      <c r="N82" s="60">
        <f t="shared" si="7"/>
        <v>5500</v>
      </c>
    </row>
    <row r="83" spans="2:14" x14ac:dyDescent="0.25">
      <c r="B83" s="48" t="s">
        <v>173</v>
      </c>
      <c r="C83" s="61">
        <f>'Budget Input'!B127</f>
        <v>1500</v>
      </c>
      <c r="D83" s="61">
        <f>'Budget Input'!C127</f>
        <v>1500</v>
      </c>
      <c r="E83" s="61">
        <f>'Budget Input'!D127</f>
        <v>1300</v>
      </c>
      <c r="F83" s="61">
        <f>'Budget Input'!E127</f>
        <v>1200</v>
      </c>
      <c r="G83" s="61">
        <f>'Budget Input'!F127</f>
        <v>0</v>
      </c>
      <c r="H83" s="61">
        <f>'Budget Input'!G127</f>
        <v>0</v>
      </c>
      <c r="I83" s="61">
        <f>'Budget Input'!H127</f>
        <v>0</v>
      </c>
      <c r="J83" s="61">
        <f>'Budget Input'!I127</f>
        <v>0</v>
      </c>
      <c r="K83" s="61">
        <f>'Budget Input'!J127</f>
        <v>0</v>
      </c>
      <c r="L83" s="61">
        <f>'Budget Input'!K127</f>
        <v>0</v>
      </c>
      <c r="M83" s="61">
        <f>'Budget Input'!L127</f>
        <v>0</v>
      </c>
      <c r="N83" s="61">
        <f>'Budget Input'!M127</f>
        <v>0</v>
      </c>
    </row>
    <row r="84" spans="2:14" x14ac:dyDescent="0.25">
      <c r="C84" s="62">
        <f>C82+C83</f>
        <v>1500</v>
      </c>
      <c r="D84" s="62">
        <f t="shared" ref="D84:N84" si="8">D82+D83</f>
        <v>3000</v>
      </c>
      <c r="E84" s="62">
        <f t="shared" si="8"/>
        <v>4300</v>
      </c>
      <c r="F84" s="62">
        <f t="shared" si="8"/>
        <v>5500</v>
      </c>
      <c r="G84" s="62">
        <f t="shared" si="8"/>
        <v>5500</v>
      </c>
      <c r="H84" s="62">
        <f t="shared" si="8"/>
        <v>5500</v>
      </c>
      <c r="I84" s="62">
        <f t="shared" si="8"/>
        <v>5500</v>
      </c>
      <c r="J84" s="62">
        <f t="shared" si="8"/>
        <v>5500</v>
      </c>
      <c r="K84" s="62">
        <f t="shared" si="8"/>
        <v>5500</v>
      </c>
      <c r="L84" s="62">
        <f t="shared" si="8"/>
        <v>5500</v>
      </c>
      <c r="M84" s="62">
        <f t="shared" si="8"/>
        <v>5500</v>
      </c>
      <c r="N84" s="62">
        <f t="shared" si="8"/>
        <v>5500</v>
      </c>
    </row>
    <row r="85" spans="2:14" x14ac:dyDescent="0.25">
      <c r="B85" s="48" t="s">
        <v>174</v>
      </c>
      <c r="C85" s="60">
        <f>'Budget Input'!B24</f>
        <v>0</v>
      </c>
      <c r="D85" s="60">
        <f>'Budget Input'!C24</f>
        <v>0</v>
      </c>
      <c r="E85" s="60">
        <f>'Budget Input'!D24</f>
        <v>0</v>
      </c>
      <c r="F85" s="60">
        <f>'Budget Input'!E24</f>
        <v>0</v>
      </c>
      <c r="G85" s="60">
        <f>'Budget Input'!F24</f>
        <v>0</v>
      </c>
      <c r="H85" s="60">
        <f>'Budget Input'!G24</f>
        <v>0</v>
      </c>
      <c r="I85" s="60">
        <f>'Budget Input'!H24</f>
        <v>0</v>
      </c>
      <c r="J85" s="60">
        <f>'Budget Input'!I24</f>
        <v>0</v>
      </c>
      <c r="K85" s="60">
        <f>'Budget Input'!J24</f>
        <v>0</v>
      </c>
      <c r="L85" s="60">
        <f>'Budget Input'!K24</f>
        <v>0</v>
      </c>
      <c r="M85" s="60">
        <f>'Budget Input'!L24</f>
        <v>0</v>
      </c>
      <c r="N85" s="60">
        <f>'Budget Input'!M24</f>
        <v>0</v>
      </c>
    </row>
    <row r="86" spans="2:14" ht="13" thickBot="1" x14ac:dyDescent="0.3">
      <c r="B86" s="48" t="s">
        <v>175</v>
      </c>
      <c r="C86" s="63">
        <f>C84-C85</f>
        <v>1500</v>
      </c>
      <c r="D86" s="63">
        <f t="shared" ref="D86:N86" si="9">D84-D85</f>
        <v>3000</v>
      </c>
      <c r="E86" s="63">
        <f t="shared" si="9"/>
        <v>4300</v>
      </c>
      <c r="F86" s="63">
        <f t="shared" si="9"/>
        <v>5500</v>
      </c>
      <c r="G86" s="63">
        <f t="shared" si="9"/>
        <v>5500</v>
      </c>
      <c r="H86" s="63">
        <f t="shared" si="9"/>
        <v>5500</v>
      </c>
      <c r="I86" s="63">
        <f t="shared" si="9"/>
        <v>5500</v>
      </c>
      <c r="J86" s="63">
        <f t="shared" si="9"/>
        <v>5500</v>
      </c>
      <c r="K86" s="63">
        <f t="shared" si="9"/>
        <v>5500</v>
      </c>
      <c r="L86" s="63">
        <f t="shared" si="9"/>
        <v>5500</v>
      </c>
      <c r="M86" s="63">
        <f t="shared" si="9"/>
        <v>5500</v>
      </c>
      <c r="N86" s="63">
        <f t="shared" si="9"/>
        <v>5500</v>
      </c>
    </row>
    <row r="87" spans="2:14" ht="13" thickTop="1" x14ac:dyDescent="0.25"/>
    <row r="115" spans="2:14" ht="13" x14ac:dyDescent="0.3">
      <c r="B115" s="52" t="s">
        <v>168</v>
      </c>
    </row>
    <row r="117" spans="2:14" x14ac:dyDescent="0.25">
      <c r="C117" s="51" t="str">
        <f t="shared" ref="C117:N117" si="10">C7</f>
        <v>JAN</v>
      </c>
      <c r="D117" s="51" t="str">
        <f t="shared" si="10"/>
        <v>FEB</v>
      </c>
      <c r="E117" s="51" t="str">
        <f t="shared" si="10"/>
        <v>MAR</v>
      </c>
      <c r="F117" s="51" t="str">
        <f t="shared" si="10"/>
        <v>APR</v>
      </c>
      <c r="G117" s="51" t="str">
        <f t="shared" si="10"/>
        <v>MAY</v>
      </c>
      <c r="H117" s="51" t="str">
        <f t="shared" si="10"/>
        <v>JUN</v>
      </c>
      <c r="I117" s="51" t="str">
        <f t="shared" si="10"/>
        <v>JUL</v>
      </c>
      <c r="J117" s="51" t="str">
        <f t="shared" si="10"/>
        <v>AUG</v>
      </c>
      <c r="K117" s="51" t="str">
        <f t="shared" si="10"/>
        <v>SEP</v>
      </c>
      <c r="L117" s="51" t="str">
        <f t="shared" si="10"/>
        <v>OCT</v>
      </c>
      <c r="M117" s="51" t="str">
        <f t="shared" si="10"/>
        <v>NOV</v>
      </c>
      <c r="N117" s="51" t="str">
        <f t="shared" si="10"/>
        <v>DEC</v>
      </c>
    </row>
    <row r="118" spans="2:14" x14ac:dyDescent="0.25">
      <c r="B118" s="48" t="s">
        <v>169</v>
      </c>
      <c r="C118" s="51">
        <f t="shared" ref="C118:N118" si="11">C9</f>
        <v>14400</v>
      </c>
      <c r="D118" s="51">
        <f t="shared" si="11"/>
        <v>13500</v>
      </c>
      <c r="E118" s="51">
        <f t="shared" si="11"/>
        <v>14200</v>
      </c>
      <c r="F118" s="51">
        <f t="shared" si="11"/>
        <v>0</v>
      </c>
      <c r="G118" s="51">
        <f t="shared" si="11"/>
        <v>0</v>
      </c>
      <c r="H118" s="51">
        <f t="shared" si="11"/>
        <v>0</v>
      </c>
      <c r="I118" s="51">
        <f t="shared" si="11"/>
        <v>0</v>
      </c>
      <c r="J118" s="51">
        <f t="shared" si="11"/>
        <v>0</v>
      </c>
      <c r="K118" s="51">
        <f t="shared" si="11"/>
        <v>0</v>
      </c>
      <c r="L118" s="51">
        <f t="shared" si="11"/>
        <v>0</v>
      </c>
      <c r="M118" s="51">
        <f t="shared" si="11"/>
        <v>0</v>
      </c>
      <c r="N118" s="51">
        <f t="shared" si="11"/>
        <v>0</v>
      </c>
    </row>
    <row r="119" spans="2:14" x14ac:dyDescent="0.25">
      <c r="B119" s="48" t="s">
        <v>170</v>
      </c>
      <c r="C119" s="51">
        <f t="shared" ref="C119:N119" si="12">C24</f>
        <v>8280</v>
      </c>
      <c r="D119" s="51">
        <f t="shared" si="12"/>
        <v>6500</v>
      </c>
      <c r="E119" s="51">
        <f t="shared" si="12"/>
        <v>5920</v>
      </c>
      <c r="F119" s="51">
        <f t="shared" si="12"/>
        <v>4360</v>
      </c>
      <c r="G119" s="51">
        <f t="shared" si="12"/>
        <v>460</v>
      </c>
      <c r="H119" s="51">
        <f t="shared" si="12"/>
        <v>1700</v>
      </c>
      <c r="I119" s="51">
        <f t="shared" si="12"/>
        <v>800</v>
      </c>
      <c r="J119" s="51">
        <f t="shared" si="12"/>
        <v>0</v>
      </c>
      <c r="K119" s="51">
        <f t="shared" si="12"/>
        <v>0</v>
      </c>
      <c r="L119" s="51">
        <f t="shared" si="12"/>
        <v>0</v>
      </c>
      <c r="M119" s="51">
        <f t="shared" si="12"/>
        <v>0</v>
      </c>
      <c r="N119" s="51">
        <f t="shared" si="12"/>
        <v>700</v>
      </c>
    </row>
    <row r="120" spans="2:14" x14ac:dyDescent="0.25">
      <c r="B120" s="48" t="s">
        <v>2</v>
      </c>
      <c r="C120" s="51">
        <f>C118-C119</f>
        <v>6120</v>
      </c>
      <c r="D120" s="51">
        <f t="shared" ref="D120:N120" si="13">D118-D119</f>
        <v>7000</v>
      </c>
      <c r="E120" s="51">
        <f t="shared" si="13"/>
        <v>8280</v>
      </c>
      <c r="F120" s="51">
        <f t="shared" si="13"/>
        <v>-4360</v>
      </c>
      <c r="G120" s="51">
        <f t="shared" si="13"/>
        <v>-460</v>
      </c>
      <c r="H120" s="51">
        <f t="shared" si="13"/>
        <v>-1700</v>
      </c>
      <c r="I120" s="51">
        <f t="shared" si="13"/>
        <v>-800</v>
      </c>
      <c r="J120" s="51">
        <f t="shared" si="13"/>
        <v>0</v>
      </c>
      <c r="K120" s="51">
        <f t="shared" si="13"/>
        <v>0</v>
      </c>
      <c r="L120" s="51">
        <f t="shared" si="13"/>
        <v>0</v>
      </c>
      <c r="M120" s="51">
        <f t="shared" si="13"/>
        <v>0</v>
      </c>
      <c r="N120" s="51">
        <f t="shared" si="13"/>
        <v>-700</v>
      </c>
    </row>
    <row r="123" spans="2:14" x14ac:dyDescent="0.25">
      <c r="B123" s="48" t="str">
        <f>B11</f>
        <v>HOME EXPENSES</v>
      </c>
      <c r="C123" s="51">
        <f>O11</f>
        <v>2100</v>
      </c>
    </row>
    <row r="124" spans="2:14" x14ac:dyDescent="0.25">
      <c r="B124" s="48" t="str">
        <f t="shared" ref="B124:B134" si="14">B12</f>
        <v>TRANSPORTATION</v>
      </c>
      <c r="C124" s="51">
        <f t="shared" ref="C124:C135" si="15">O12</f>
        <v>370</v>
      </c>
    </row>
    <row r="125" spans="2:14" x14ac:dyDescent="0.25">
      <c r="B125" s="48" t="str">
        <f t="shared" si="14"/>
        <v>HEALTH</v>
      </c>
      <c r="C125" s="51">
        <f t="shared" si="15"/>
        <v>580</v>
      </c>
    </row>
    <row r="126" spans="2:14" x14ac:dyDescent="0.25">
      <c r="B126" s="48" t="str">
        <f t="shared" si="14"/>
        <v>CHARITY / GIFTS</v>
      </c>
      <c r="C126" s="51">
        <f t="shared" si="15"/>
        <v>550</v>
      </c>
    </row>
    <row r="127" spans="2:14" x14ac:dyDescent="0.25">
      <c r="B127" s="48" t="str">
        <f t="shared" si="14"/>
        <v>DAILY LIVING</v>
      </c>
      <c r="C127" s="51">
        <f t="shared" si="15"/>
        <v>3450</v>
      </c>
    </row>
    <row r="128" spans="2:14" x14ac:dyDescent="0.25">
      <c r="B128" s="48" t="str">
        <f t="shared" si="14"/>
        <v>CHILDREN EXPENSES</v>
      </c>
      <c r="C128" s="51">
        <f t="shared" si="15"/>
        <v>900</v>
      </c>
    </row>
    <row r="129" spans="2:3" x14ac:dyDescent="0.25">
      <c r="B129" s="48" t="str">
        <f t="shared" si="14"/>
        <v>ENTERTAINMENT</v>
      </c>
      <c r="C129" s="51">
        <f t="shared" si="15"/>
        <v>400</v>
      </c>
    </row>
    <row r="130" spans="2:3" x14ac:dyDescent="0.25">
      <c r="B130" s="48" t="str">
        <f t="shared" si="14"/>
        <v>SAVINGS</v>
      </c>
      <c r="C130" s="51">
        <f t="shared" si="15"/>
        <v>5500</v>
      </c>
    </row>
    <row r="131" spans="2:3" x14ac:dyDescent="0.25">
      <c r="B131" s="48" t="str">
        <f t="shared" si="14"/>
        <v>DEBT REPAYMENTS</v>
      </c>
      <c r="C131" s="51">
        <f t="shared" si="15"/>
        <v>9500</v>
      </c>
    </row>
    <row r="132" spans="2:3" x14ac:dyDescent="0.25">
      <c r="B132" s="48" t="str">
        <f t="shared" si="14"/>
        <v>OBLIGATIONS</v>
      </c>
      <c r="C132" s="51">
        <f t="shared" si="15"/>
        <v>2900</v>
      </c>
    </row>
    <row r="133" spans="2:3" x14ac:dyDescent="0.25">
      <c r="B133" s="48" t="str">
        <f t="shared" si="14"/>
        <v>PROPERTY/ ASSETS</v>
      </c>
      <c r="C133" s="51">
        <f t="shared" si="15"/>
        <v>1320</v>
      </c>
    </row>
    <row r="134" spans="2:3" x14ac:dyDescent="0.25">
      <c r="B134" s="48" t="str">
        <f t="shared" si="14"/>
        <v>SUBSCRIPTIONS</v>
      </c>
      <c r="C134" s="51">
        <f t="shared" si="15"/>
        <v>450</v>
      </c>
    </row>
    <row r="135" spans="2:3" x14ac:dyDescent="0.25">
      <c r="B135" s="48" t="str">
        <f>B23</f>
        <v>MISCELLANEOUS</v>
      </c>
      <c r="C135" s="51">
        <f t="shared" si="15"/>
        <v>700</v>
      </c>
    </row>
  </sheetData>
  <mergeCells count="9">
    <mergeCell ref="B2:P2"/>
    <mergeCell ref="G48:H48"/>
    <mergeCell ref="G49:H49"/>
    <mergeCell ref="G50:H50"/>
    <mergeCell ref="G51:H51"/>
    <mergeCell ref="I48:J48"/>
    <mergeCell ref="I49:J49"/>
    <mergeCell ref="I50:J50"/>
    <mergeCell ref="I51:J51"/>
  </mergeCells>
  <hyperlinks>
    <hyperlink ref="B5" r:id="rId1" xr:uid="{9CF3E259-5337-4902-9E46-0AFC01E800DA}"/>
  </hyperlinks>
  <printOptions horizontalCentered="1"/>
  <pageMargins left="0.31496062992125984" right="0.31496062992125984" top="0.35433070866141736" bottom="0.35433070866141736" header="0.31496062992125984" footer="0.31496062992125984"/>
  <pageSetup orientation="landscape" r:id="rId2"/>
  <drawing r:id="rId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E61AB-8E63-4664-A816-E750411DE130}">
  <dimension ref="B1:P111"/>
  <sheetViews>
    <sheetView workbookViewId="0">
      <pane ySplit="3" topLeftCell="A4" activePane="bottomLeft" state="frozen"/>
      <selection pane="bottomLeft" activeCell="A4" sqref="A4"/>
    </sheetView>
  </sheetViews>
  <sheetFormatPr defaultRowHeight="14" x14ac:dyDescent="0.3"/>
  <cols>
    <col min="1" max="1" width="4.08984375" style="87" customWidth="1"/>
    <col min="2" max="2" width="122.90625" style="87" customWidth="1"/>
    <col min="3" max="16384" width="8.7265625" style="87"/>
  </cols>
  <sheetData>
    <row r="1" spans="2:16" ht="18" x14ac:dyDescent="0.4">
      <c r="B1" s="98" t="s">
        <v>202</v>
      </c>
      <c r="C1" s="92"/>
      <c r="D1" s="92"/>
      <c r="E1" s="92"/>
      <c r="F1" s="92"/>
      <c r="G1" s="92"/>
      <c r="H1" s="92"/>
      <c r="I1" s="92"/>
      <c r="J1" s="92"/>
      <c r="K1" s="92"/>
      <c r="L1" s="92"/>
      <c r="M1" s="92"/>
      <c r="N1" s="92"/>
      <c r="O1" s="92"/>
      <c r="P1" s="92"/>
    </row>
    <row r="3" spans="2:16" x14ac:dyDescent="0.3">
      <c r="B3" s="88" t="s">
        <v>187</v>
      </c>
      <c r="E3" s="93"/>
    </row>
    <row r="4" spans="2:16" x14ac:dyDescent="0.3">
      <c r="B4" s="94" t="s">
        <v>149</v>
      </c>
    </row>
    <row r="5" spans="2:16" x14ac:dyDescent="0.3">
      <c r="B5" s="94"/>
    </row>
    <row r="6" spans="2:16" ht="15.5" x14ac:dyDescent="0.3">
      <c r="B6" s="95" t="s">
        <v>203</v>
      </c>
    </row>
    <row r="7" spans="2:16" x14ac:dyDescent="0.3">
      <c r="B7" s="89"/>
    </row>
    <row r="8" spans="2:16" ht="42" x14ac:dyDescent="0.3">
      <c r="B8" s="89" t="s">
        <v>204</v>
      </c>
    </row>
    <row r="9" spans="2:16" x14ac:dyDescent="0.3">
      <c r="B9" s="89"/>
    </row>
    <row r="10" spans="2:16" ht="15.5" x14ac:dyDescent="0.3">
      <c r="B10" s="96" t="s">
        <v>205</v>
      </c>
    </row>
    <row r="11" spans="2:16" x14ac:dyDescent="0.3">
      <c r="B11" s="90"/>
    </row>
    <row r="12" spans="2:16" x14ac:dyDescent="0.3">
      <c r="B12" s="91" t="s">
        <v>226</v>
      </c>
    </row>
    <row r="13" spans="2:16" x14ac:dyDescent="0.3">
      <c r="B13" s="90"/>
    </row>
    <row r="14" spans="2:16" ht="28" x14ac:dyDescent="0.3">
      <c r="B14" s="91" t="s">
        <v>227</v>
      </c>
    </row>
    <row r="15" spans="2:16" x14ac:dyDescent="0.3">
      <c r="B15" s="90"/>
    </row>
    <row r="16" spans="2:16" ht="42" x14ac:dyDescent="0.3">
      <c r="B16" s="91" t="s">
        <v>228</v>
      </c>
    </row>
    <row r="17" spans="2:2" x14ac:dyDescent="0.3">
      <c r="B17" s="89"/>
    </row>
    <row r="18" spans="2:2" x14ac:dyDescent="0.3">
      <c r="B18" s="89"/>
    </row>
    <row r="19" spans="2:2" ht="15.5" x14ac:dyDescent="0.3">
      <c r="B19" s="96" t="s">
        <v>206</v>
      </c>
    </row>
    <row r="20" spans="2:2" x14ac:dyDescent="0.3">
      <c r="B20" s="90"/>
    </row>
    <row r="21" spans="2:2" ht="28" x14ac:dyDescent="0.3">
      <c r="B21" s="91" t="s">
        <v>229</v>
      </c>
    </row>
    <row r="22" spans="2:2" x14ac:dyDescent="0.3">
      <c r="B22" s="90"/>
    </row>
    <row r="23" spans="2:2" ht="28" x14ac:dyDescent="0.3">
      <c r="B23" s="90" t="s">
        <v>230</v>
      </c>
    </row>
    <row r="24" spans="2:2" x14ac:dyDescent="0.3">
      <c r="B24" s="90"/>
    </row>
    <row r="25" spans="2:2" ht="28" x14ac:dyDescent="0.3">
      <c r="B25" s="90" t="s">
        <v>207</v>
      </c>
    </row>
    <row r="26" spans="2:2" x14ac:dyDescent="0.3">
      <c r="B26" s="89"/>
    </row>
    <row r="27" spans="2:2" x14ac:dyDescent="0.3">
      <c r="B27" s="89"/>
    </row>
    <row r="28" spans="2:2" x14ac:dyDescent="0.3">
      <c r="B28" s="89"/>
    </row>
    <row r="29" spans="2:2" ht="18" x14ac:dyDescent="0.3">
      <c r="B29" s="97" t="s">
        <v>208</v>
      </c>
    </row>
    <row r="30" spans="2:2" x14ac:dyDescent="0.3">
      <c r="B30" s="90"/>
    </row>
    <row r="31" spans="2:2" x14ac:dyDescent="0.3">
      <c r="B31" s="90" t="s">
        <v>231</v>
      </c>
    </row>
    <row r="32" spans="2:2" x14ac:dyDescent="0.3">
      <c r="B32" s="90"/>
    </row>
    <row r="33" spans="2:2" ht="28" x14ac:dyDescent="0.3">
      <c r="B33" s="90" t="s">
        <v>232</v>
      </c>
    </row>
    <row r="34" spans="2:2" x14ac:dyDescent="0.3">
      <c r="B34" s="90"/>
    </row>
    <row r="35" spans="2:2" x14ac:dyDescent="0.3">
      <c r="B35" s="90" t="s">
        <v>209</v>
      </c>
    </row>
    <row r="36" spans="2:2" x14ac:dyDescent="0.3">
      <c r="B36" s="90"/>
    </row>
    <row r="37" spans="2:2" x14ac:dyDescent="0.3">
      <c r="B37" s="90" t="s">
        <v>210</v>
      </c>
    </row>
    <row r="38" spans="2:2" x14ac:dyDescent="0.3">
      <c r="B38" s="90"/>
    </row>
    <row r="39" spans="2:2" x14ac:dyDescent="0.3">
      <c r="B39" s="90" t="s">
        <v>211</v>
      </c>
    </row>
    <row r="40" spans="2:2" x14ac:dyDescent="0.3">
      <c r="B40" s="90"/>
    </row>
    <row r="41" spans="2:2" ht="28" x14ac:dyDescent="0.3">
      <c r="B41" s="90" t="s">
        <v>212</v>
      </c>
    </row>
    <row r="42" spans="2:2" x14ac:dyDescent="0.3">
      <c r="B42" s="89"/>
    </row>
    <row r="43" spans="2:2" x14ac:dyDescent="0.3">
      <c r="B43" s="89"/>
    </row>
    <row r="44" spans="2:2" x14ac:dyDescent="0.3">
      <c r="B44" s="89"/>
    </row>
    <row r="45" spans="2:2" ht="15.5" x14ac:dyDescent="0.3">
      <c r="B45" s="96" t="s">
        <v>213</v>
      </c>
    </row>
    <row r="46" spans="2:2" x14ac:dyDescent="0.3">
      <c r="B46" s="90"/>
    </row>
    <row r="47" spans="2:2" ht="28" x14ac:dyDescent="0.3">
      <c r="B47" s="91" t="s">
        <v>233</v>
      </c>
    </row>
    <row r="48" spans="2:2" x14ac:dyDescent="0.3">
      <c r="B48" s="90"/>
    </row>
    <row r="49" spans="2:2" x14ac:dyDescent="0.3">
      <c r="B49" s="91" t="s">
        <v>234</v>
      </c>
    </row>
    <row r="50" spans="2:2" x14ac:dyDescent="0.3">
      <c r="B50" s="90"/>
    </row>
    <row r="51" spans="2:2" ht="28" x14ac:dyDescent="0.3">
      <c r="B51" s="91" t="s">
        <v>235</v>
      </c>
    </row>
    <row r="52" spans="2:2" x14ac:dyDescent="0.3">
      <c r="B52" s="90"/>
    </row>
    <row r="53" spans="2:2" ht="28" x14ac:dyDescent="0.3">
      <c r="B53" s="91" t="s">
        <v>236</v>
      </c>
    </row>
    <row r="54" spans="2:2" x14ac:dyDescent="0.3">
      <c r="B54" s="90"/>
    </row>
    <row r="55" spans="2:2" ht="28" x14ac:dyDescent="0.3">
      <c r="B55" s="91" t="s">
        <v>237</v>
      </c>
    </row>
    <row r="56" spans="2:2" x14ac:dyDescent="0.3">
      <c r="B56" s="89"/>
    </row>
    <row r="57" spans="2:2" x14ac:dyDescent="0.3">
      <c r="B57" s="89"/>
    </row>
    <row r="58" spans="2:2" x14ac:dyDescent="0.3">
      <c r="B58" s="89"/>
    </row>
    <row r="59" spans="2:2" ht="15.5" x14ac:dyDescent="0.3">
      <c r="B59" s="96" t="s">
        <v>214</v>
      </c>
    </row>
    <row r="60" spans="2:2" x14ac:dyDescent="0.3">
      <c r="B60" s="90"/>
    </row>
    <row r="61" spans="2:2" ht="28" x14ac:dyDescent="0.3">
      <c r="B61" s="90" t="s">
        <v>238</v>
      </c>
    </row>
    <row r="62" spans="2:2" x14ac:dyDescent="0.3">
      <c r="B62" s="90"/>
    </row>
    <row r="63" spans="2:2" ht="28" x14ac:dyDescent="0.3">
      <c r="B63" s="91" t="s">
        <v>239</v>
      </c>
    </row>
    <row r="64" spans="2:2" x14ac:dyDescent="0.3">
      <c r="B64" s="90"/>
    </row>
    <row r="65" spans="2:2" x14ac:dyDescent="0.3">
      <c r="B65" s="90" t="s">
        <v>215</v>
      </c>
    </row>
    <row r="66" spans="2:2" x14ac:dyDescent="0.3">
      <c r="B66" s="89"/>
    </row>
    <row r="67" spans="2:2" x14ac:dyDescent="0.3">
      <c r="B67" s="89"/>
    </row>
    <row r="68" spans="2:2" x14ac:dyDescent="0.3">
      <c r="B68" s="89"/>
    </row>
    <row r="69" spans="2:2" ht="15.5" x14ac:dyDescent="0.3">
      <c r="B69" s="96" t="s">
        <v>216</v>
      </c>
    </row>
    <row r="70" spans="2:2" x14ac:dyDescent="0.3">
      <c r="B70" s="90"/>
    </row>
    <row r="71" spans="2:2" ht="42" x14ac:dyDescent="0.3">
      <c r="B71" s="90" t="s">
        <v>240</v>
      </c>
    </row>
    <row r="72" spans="2:2" x14ac:dyDescent="0.3">
      <c r="B72" s="89"/>
    </row>
    <row r="73" spans="2:2" x14ac:dyDescent="0.3">
      <c r="B73" s="89"/>
    </row>
    <row r="74" spans="2:2" x14ac:dyDescent="0.3">
      <c r="B74" s="89"/>
    </row>
    <row r="75" spans="2:2" ht="15.5" x14ac:dyDescent="0.3">
      <c r="B75" s="96" t="s">
        <v>217</v>
      </c>
    </row>
    <row r="76" spans="2:2" x14ac:dyDescent="0.3">
      <c r="B76" s="90"/>
    </row>
    <row r="77" spans="2:2" ht="28" x14ac:dyDescent="0.3">
      <c r="B77" s="91" t="s">
        <v>241</v>
      </c>
    </row>
    <row r="78" spans="2:2" x14ac:dyDescent="0.3">
      <c r="B78" s="90"/>
    </row>
    <row r="79" spans="2:2" ht="28" x14ac:dyDescent="0.3">
      <c r="B79" s="91" t="s">
        <v>242</v>
      </c>
    </row>
    <row r="80" spans="2:2" x14ac:dyDescent="0.3">
      <c r="B80" s="90"/>
    </row>
    <row r="81" spans="2:2" x14ac:dyDescent="0.3">
      <c r="B81" s="91" t="s">
        <v>243</v>
      </c>
    </row>
    <row r="82" spans="2:2" x14ac:dyDescent="0.3">
      <c r="B82" s="89"/>
    </row>
    <row r="83" spans="2:2" x14ac:dyDescent="0.3">
      <c r="B83" s="89"/>
    </row>
    <row r="84" spans="2:2" x14ac:dyDescent="0.3">
      <c r="B84" s="89"/>
    </row>
    <row r="85" spans="2:2" ht="15.5" x14ac:dyDescent="0.3">
      <c r="B85" s="96" t="s">
        <v>218</v>
      </c>
    </row>
    <row r="86" spans="2:2" x14ac:dyDescent="0.3">
      <c r="B86" s="90"/>
    </row>
    <row r="87" spans="2:2" x14ac:dyDescent="0.3">
      <c r="B87" s="90" t="s">
        <v>219</v>
      </c>
    </row>
    <row r="88" spans="2:2" x14ac:dyDescent="0.3">
      <c r="B88" s="90"/>
    </row>
    <row r="89" spans="2:2" x14ac:dyDescent="0.3">
      <c r="B89" s="90" t="s">
        <v>220</v>
      </c>
    </row>
    <row r="90" spans="2:2" x14ac:dyDescent="0.3">
      <c r="B90" s="90"/>
    </row>
    <row r="91" spans="2:2" ht="28" x14ac:dyDescent="0.3">
      <c r="B91" s="90" t="s">
        <v>221</v>
      </c>
    </row>
    <row r="92" spans="2:2" x14ac:dyDescent="0.3">
      <c r="B92" s="90"/>
    </row>
    <row r="93" spans="2:2" ht="28" x14ac:dyDescent="0.3">
      <c r="B93" s="90" t="s">
        <v>222</v>
      </c>
    </row>
    <row r="94" spans="2:2" x14ac:dyDescent="0.3">
      <c r="B94" s="90"/>
    </row>
    <row r="95" spans="2:2" ht="28" x14ac:dyDescent="0.3">
      <c r="B95" s="90" t="s">
        <v>223</v>
      </c>
    </row>
    <row r="96" spans="2:2" x14ac:dyDescent="0.3">
      <c r="B96" s="89"/>
    </row>
    <row r="97" spans="2:2" x14ac:dyDescent="0.3">
      <c r="B97" s="89"/>
    </row>
    <row r="98" spans="2:2" x14ac:dyDescent="0.3">
      <c r="B98" s="89"/>
    </row>
    <row r="99" spans="2:2" ht="15.5" x14ac:dyDescent="0.3">
      <c r="B99" s="96" t="s">
        <v>224</v>
      </c>
    </row>
    <row r="100" spans="2:2" x14ac:dyDescent="0.3">
      <c r="B100" s="90"/>
    </row>
    <row r="101" spans="2:2" x14ac:dyDescent="0.3">
      <c r="B101" s="91" t="s">
        <v>244</v>
      </c>
    </row>
    <row r="102" spans="2:2" x14ac:dyDescent="0.3">
      <c r="B102" s="90"/>
    </row>
    <row r="103" spans="2:2" ht="28" x14ac:dyDescent="0.3">
      <c r="B103" s="91" t="s">
        <v>245</v>
      </c>
    </row>
    <row r="104" spans="2:2" x14ac:dyDescent="0.3">
      <c r="B104" s="90"/>
    </row>
    <row r="105" spans="2:2" ht="28" x14ac:dyDescent="0.3">
      <c r="B105" s="91" t="s">
        <v>246</v>
      </c>
    </row>
    <row r="106" spans="2:2" x14ac:dyDescent="0.3">
      <c r="B106" s="89"/>
    </row>
    <row r="107" spans="2:2" x14ac:dyDescent="0.3">
      <c r="B107" s="89"/>
    </row>
    <row r="108" spans="2:2" x14ac:dyDescent="0.3">
      <c r="B108" s="89"/>
    </row>
    <row r="109" spans="2:2" ht="15.5" x14ac:dyDescent="0.3">
      <c r="B109" s="96" t="s">
        <v>225</v>
      </c>
    </row>
    <row r="110" spans="2:2" x14ac:dyDescent="0.3">
      <c r="B110" s="89"/>
    </row>
    <row r="111" spans="2:2" ht="56" x14ac:dyDescent="0.3">
      <c r="B111" s="89" t="s">
        <v>247</v>
      </c>
    </row>
  </sheetData>
  <hyperlinks>
    <hyperlink ref="B3" r:id="rId1" xr:uid="{E2AE0669-C92E-4769-BAEC-AE05D4152C13}"/>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 Cover ©</vt:lpstr>
      <vt:lpstr>Budget Input</vt:lpstr>
      <vt:lpstr>Budget Summary</vt:lpstr>
      <vt:lpstr>Help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Dileep Nair</cp:lastModifiedBy>
  <cp:lastPrinted>2025-10-23T10:28:31Z</cp:lastPrinted>
  <dcterms:created xsi:type="dcterms:W3CDTF">2015-06-05T18:17:20Z</dcterms:created>
  <dcterms:modified xsi:type="dcterms:W3CDTF">2025-10-23T14:02:42Z</dcterms:modified>
</cp:coreProperties>
</file>